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<sst xmlns="http://schemas.openxmlformats.org/spreadsheetml/2006/main" count="175" uniqueCount="151">
  <si>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</si>
  <si>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</si>
  <si>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</si>
  <si>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</si>
  <si>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</si>
  <si>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</si>
  <si>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</si>
  <si>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</si>
  <si>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</si>
  <si>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</si>
  <si>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</si>
  <si>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</si>
  <si>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</si>
  <si>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</si>
  <si>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</si>
  <si>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</si>
  <si>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</si>
  <si>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</si>
  <si>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</si>
  <si>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</si>
  <si>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</si>
  <si>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</si>
  <si>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</si>
  <si>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</si>
  <si>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</si>
  <si>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</si>
  <si>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</si>
  <si>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</si>
  <si>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</si>
  <si>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</si>
  <si>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</si>
  <si>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</si>
  <si>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</si>
  <si>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</si>
  <si>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</si>
  <si>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</si>
  <si>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</si>
  <si>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</si>
  <si>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</si>
  <si>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</si>
  <si>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</si>
  <si>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</si>
  <si>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</si>
  <si>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</si>
  <si>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</si>
  <si>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</si>
  <si>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</si>
  <si>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</si>
  <si>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</si>
  <si>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</si>
  <si>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</si>
  <si>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</si>
  <si>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</si>
  <si>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</si>
  <si>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</si>
  <si>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</si>
  <si>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</si>
  <si>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</si>
  <si>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</si>
  <si>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</si>
  <si>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</si>
  <si>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</si>
  <si>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</si>
  <si>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</si>
  <si>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</si>
  <si>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</si>
  <si>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</si>
  <si>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</si>
  <si>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</si>
  <si>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</si>
  <si>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</si>
  <si>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</si>
  <si>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</si>
  <si>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</si>
  <si>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</si>
  <si>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</si>
  <si>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</si>
  <si>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</si>
  <si>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</si>
  <si>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</si>
  <si>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</si>
  <si>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</si>
  <si>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</si>
  <si>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</si>
  <si>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</si>
  <si>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</si>
  <si>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</si>
  <si>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</si>
  <si>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</si>
  <si>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</si>
  <si>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</si>
  <si>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</si>
  <si>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</si>
  <si>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</si>
  <si>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</si>
  <si>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</si>
  <si>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</si>
  <si>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</si>
  <si>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</si>
  <si>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</si>
  <si>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</si>
  <si>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</si>
  <si>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</si>
  <si>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</si>
  <si>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</si>
  <si>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</si>
  <si>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</si>
  <si>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</si>
  <si>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</si>
  <si>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</si>
  <si>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</si>
  <si>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</si>
  <si>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</si>
  <si>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</si>
  <si>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</si>
  <si>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</si>
  <si>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</si>
  <si>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</si>
  <si>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</si>
  <si>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</si>
  <si>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</si>
  <si>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</si>
  <si>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</si>
  <si>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</si>
  <si>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</si>
  <si>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</si>
  <si>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</si>
  <si>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</si>
  <si>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</si>
  <si>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</si>
  <si>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</si>
  <si>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</si>
  <si>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</si>
  <si>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</si>
  <si>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</si>
  <si>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</si>
  <si>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</si>
  <si>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</si>
  <si>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</si>
  <si>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</si>
  <si>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</si>
  <si>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</si>
  <si>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</si>
  <si>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</si>
  <si>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</si>
  <si>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</si>
  <si>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</si>
  <si>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</si>
  <si>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</si>
  <si>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параметризація приладів (фінансова підтримка КП "Міськсвітло")</t>
  </si>
  <si>
    <t>Профінансовано на 09.03.2017 року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</si>
</sst>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_р_."/>
    <numFmt numFmtId="168" formatCode="#,##0.00\ _г_р_н_.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42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67" fontId="17" fillId="25" borderId="10" xfId="0" applyNumberFormat="1" applyFont="1" applyFill="1" applyBorder="1" applyAlignment="1">
      <alignment horizontal="center" vertical="center" wrapText="1"/>
    </xf>
    <xf numFmtId="167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168" fontId="17" fillId="0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5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67" fontId="17" fillId="25" borderId="13" xfId="0" applyNumberFormat="1" applyFont="1" applyFill="1" applyBorder="1" applyAlignment="1">
      <alignment horizontal="center" vertical="center" wrapText="1"/>
    </xf>
    <xf numFmtId="167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8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67" fontId="17" fillId="7" borderId="10" xfId="0" applyNumberFormat="1" applyFont="1" applyFill="1" applyBorder="1" applyAlignment="1">
      <alignment horizontal="center" vertical="center" wrapText="1"/>
    </xf>
    <xf numFmtId="168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64" fontId="18" fillId="25" borderId="10" xfId="0" applyNumberFormat="1" applyFont="1" applyFill="1" applyBorder="1" applyAlignment="1">
      <alignment horizontal="center" vertical="center" wrapText="1"/>
    </xf>
    <xf numFmtId="164" fontId="25" fillId="25" borderId="10" xfId="0" applyNumberFormat="1" applyFont="1" applyFill="1" applyBorder="1" applyAlignment="1">
      <alignment horizontal="center" vertical="center" wrapText="1"/>
    </xf>
    <xf numFmtId="164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79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168" fontId="25" fillId="25" borderId="10" xfId="0" applyNumberFormat="1" applyFont="1" applyFill="1" applyBorder="1" applyAlignment="1">
      <alignment horizontal="center" vertical="center" wrapText="1"/>
    </xf>
    <xf numFmtId="165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64" fontId="17" fillId="25" borderId="10" xfId="0" applyNumberFormat="1" applyFont="1" applyFill="1" applyBorder="1" applyAlignment="1">
      <alignment horizontal="center" vertical="center" wrapText="1"/>
    </xf>
    <xf numFmtId="167" fontId="25" fillId="25" borderId="10" xfId="0" applyNumberFormat="1" applyFont="1" applyFill="1" applyBorder="1" applyAlignment="1">
      <alignment horizontal="center" vertical="center" wrapText="1"/>
    </xf>
    <xf numFmtId="166" fontId="18" fillId="25" borderId="10" xfId="0" applyNumberFormat="1" applyFont="1" applyFill="1" applyBorder="1" applyAlignment="1">
      <alignment horizontal="center" vertical="center" wrapText="1"/>
    </xf>
    <xf numFmtId="165" fontId="21" fillId="25" borderId="10" xfId="0" applyNumberFormat="1" applyFont="1" applyFill="1" applyBorder="1" applyAlignment="1">
      <alignment horizontal="center"/>
    </xf>
    <xf numFmtId="0" fontId="21" fillId="25" borderId="10" xfId="79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67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67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67" fontId="25" fillId="25" borderId="10" xfId="0" applyNumberFormat="1" applyFont="1" applyFill="1" applyBorder="1" applyAlignment="1">
      <alignment horizontal="center"/>
    </xf>
    <xf numFmtId="167" fontId="25" fillId="25" borderId="10" xfId="0" applyNumberFormat="1" applyFont="1" applyFill="1" applyBorder="1" applyAlignment="1">
      <alignment horizontal="left"/>
    </xf>
    <xf numFmtId="167" fontId="25" fillId="25" borderId="13" xfId="0" applyNumberFormat="1" applyFont="1" applyFill="1" applyBorder="1" applyAlignment="1">
      <alignment horizontal="left"/>
    </xf>
    <xf numFmtId="168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67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168" fontId="18" fillId="25" borderId="10" xfId="0" applyNumberFormat="1" applyFont="1" applyFill="1" applyBorder="1" applyAlignment="1">
      <alignment horizontal="center" vertical="center" wrapText="1"/>
    </xf>
    <xf numFmtId="165" fontId="15" fillId="25" borderId="10" xfId="0" applyNumberFormat="1" applyFont="1" applyFill="1" applyBorder="1" applyAlignment="1">
      <alignment horizontal="center"/>
    </xf>
    <xf numFmtId="166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67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67" fontId="17" fillId="24" borderId="10" xfId="0" applyNumberFormat="1" applyFont="1" applyFill="1" applyBorder="1" applyAlignment="1">
      <alignment horizontal="center" vertical="center" wrapText="1"/>
    </xf>
    <xf numFmtId="167" fontId="17" fillId="24" borderId="13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168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64" fontId="17" fillId="17" borderId="10" xfId="0" applyNumberFormat="1" applyFont="1" applyFill="1" applyBorder="1" applyAlignment="1">
      <alignment horizontal="center" vertical="center" wrapText="1"/>
    </xf>
    <xf numFmtId="164" fontId="2" fillId="17" borderId="10" xfId="0" applyNumberFormat="1" applyFont="1" applyFill="1" applyBorder="1" applyAlignment="1">
      <alignment horizontal="center" vertical="center" wrapText="1"/>
    </xf>
    <xf numFmtId="167" fontId="17" fillId="17" borderId="10" xfId="0" applyNumberFormat="1" applyFont="1" applyFill="1" applyBorder="1" applyAlignment="1">
      <alignment horizontal="center" vertical="center" wrapText="1"/>
    </xf>
    <xf numFmtId="168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67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64" fontId="18" fillId="17" borderId="10" xfId="0" applyNumberFormat="1" applyFont="1" applyFill="1" applyBorder="1" applyAlignment="1">
      <alignment horizontal="center" vertical="center" wrapText="1"/>
    </xf>
    <xf numFmtId="164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66" fontId="18" fillId="17" borderId="10" xfId="0" applyNumberFormat="1" applyFont="1" applyFill="1" applyBorder="1" applyAlignment="1">
      <alignment horizontal="center" vertical="center" wrapText="1"/>
    </xf>
    <xf numFmtId="168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67" fontId="25" fillId="17" borderId="10" xfId="0" applyNumberFormat="1" applyFont="1" applyFill="1" applyBorder="1" applyAlignment="1">
      <alignment horizontal="left" vertical="center" wrapText="1"/>
    </xf>
    <xf numFmtId="167" fontId="25" fillId="17" borderId="13" xfId="0" applyNumberFormat="1" applyFont="1" applyFill="1" applyBorder="1" applyAlignment="1">
      <alignment horizontal="left" vertical="center" wrapText="1"/>
    </xf>
    <xf numFmtId="165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67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64" fontId="17" fillId="23" borderId="10" xfId="0" applyNumberFormat="1" applyFont="1" applyFill="1" applyBorder="1" applyAlignment="1">
      <alignment horizontal="center" vertical="center" wrapText="1"/>
    </xf>
    <xf numFmtId="167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67" fontId="17" fillId="23" borderId="13" xfId="0" applyNumberFormat="1" applyFont="1" applyFill="1" applyBorder="1" applyAlignment="1">
      <alignment horizontal="center" vertical="center" wrapText="1"/>
    </xf>
    <xf numFmtId="168" fontId="17" fillId="23" borderId="10" xfId="0" applyNumberFormat="1" applyFont="1" applyFill="1" applyBorder="1" applyAlignment="1">
      <alignment horizontal="center" vertical="center" wrapText="1"/>
    </xf>
    <xf numFmtId="0" fontId="2" fillId="23" borderId="10" xfId="79" applyFont="1" applyFill="1" applyBorder="1" applyAlignment="1">
      <alignment horizontal="left" wrapText="1"/>
      <protection/>
    </xf>
    <xf numFmtId="164" fontId="18" fillId="23" borderId="10" xfId="0" applyNumberFormat="1" applyFont="1" applyFill="1" applyBorder="1" applyAlignment="1">
      <alignment horizontal="center" vertical="center" wrapText="1"/>
    </xf>
    <xf numFmtId="167" fontId="25" fillId="23" borderId="10" xfId="0" applyNumberFormat="1" applyFont="1" applyFill="1" applyBorder="1" applyAlignment="1">
      <alignment horizontal="center" vertical="center" wrapText="1"/>
    </xf>
    <xf numFmtId="166" fontId="18" fillId="23" borderId="10" xfId="0" applyNumberFormat="1" applyFont="1" applyFill="1" applyBorder="1" applyAlignment="1">
      <alignment horizontal="center" vertical="center" wrapText="1"/>
    </xf>
    <xf numFmtId="168" fontId="25" fillId="23" borderId="10" xfId="0" applyNumberFormat="1" applyFont="1" applyFill="1" applyBorder="1" applyAlignment="1">
      <alignment horizontal="center" vertical="center" wrapText="1"/>
    </xf>
    <xf numFmtId="167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67" fontId="17" fillId="23" borderId="13" xfId="0" applyNumberFormat="1" applyFont="1" applyFill="1" applyBorder="1" applyAlignment="1">
      <alignment horizontal="left" vertical="center" wrapText="1"/>
    </xf>
    <xf numFmtId="165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67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67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65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67" fontId="25" fillId="23" borderId="13" xfId="0" applyNumberFormat="1" applyFont="1" applyFill="1" applyBorder="1" applyAlignment="1">
      <alignment horizontal="left"/>
    </xf>
    <xf numFmtId="167" fontId="25" fillId="23" borderId="10" xfId="0" applyNumberFormat="1" applyFont="1" applyFill="1" applyBorder="1" applyAlignment="1">
      <alignment horizontal="left"/>
    </xf>
    <xf numFmtId="165" fontId="21" fillId="23" borderId="10" xfId="0" applyNumberFormat="1" applyFont="1" applyFill="1" applyBorder="1" applyAlignment="1">
      <alignment horizontal="center"/>
    </xf>
    <xf numFmtId="168" fontId="15" fillId="23" borderId="10" xfId="0" applyNumberFormat="1" applyFont="1" applyFill="1" applyBorder="1" applyAlignment="1">
      <alignment horizontal="center"/>
    </xf>
    <xf numFmtId="165" fontId="2" fillId="23" borderId="10" xfId="0" applyNumberFormat="1" applyFont="1" applyFill="1" applyBorder="1" applyAlignment="1">
      <alignment horizontal="center"/>
    </xf>
    <xf numFmtId="166" fontId="17" fillId="23" borderId="10" xfId="0" applyNumberFormat="1" applyFont="1" applyFill="1" applyBorder="1" applyAlignment="1">
      <alignment horizontal="center" vertical="center" wrapText="1"/>
    </xf>
    <xf numFmtId="167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67" fontId="23" fillId="23" borderId="13" xfId="0" applyNumberFormat="1" applyFont="1" applyFill="1" applyBorder="1" applyAlignment="1">
      <alignment horizontal="center" vertical="center"/>
    </xf>
    <xf numFmtId="167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17" borderId="10" xfId="0" applyNumberFormat="1" applyFill="1" applyBorder="1" applyAlignment="1">
      <alignment horizontal="center" vertical="center"/>
    </xf>
    <xf numFmtId="164" fontId="15" fillId="23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65" fontId="15" fillId="0" borderId="10" xfId="0" applyNumberFormat="1" applyFont="1" applyBorder="1" applyAlignment="1">
      <alignment horizontal="center"/>
    </xf>
    <xf numFmtId="165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64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67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/>
    </xf>
    <xf numFmtId="165" fontId="2" fillId="2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3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5" fillId="25" borderId="17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67" fontId="2" fillId="24" borderId="10" xfId="0" applyNumberFormat="1" applyFont="1" applyFill="1" applyBorder="1" applyAlignment="1">
      <alignment horizontal="center" vertical="center"/>
    </xf>
    <xf numFmtId="167" fontId="2" fillId="2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67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Xl000012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3 2" xfId="76"/>
    <cellStyle name="Обычный 4" xfId="77"/>
    <cellStyle name="Обычный 9 2" xfId="78"/>
    <cellStyle name="Обычный_дод 8 до бюджету 201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PageLayoutView="0" workbookViewId="0" topLeftCell="B1">
      <selection activeCell="AD7" sqref="AD7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5" t="s">
        <v>116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7"/>
      <c r="AF4" s="287"/>
      <c r="AG4" s="287"/>
      <c r="AH4" s="287"/>
    </row>
    <row r="5" spans="1:34" ht="20.25" customHeight="1">
      <c r="A5" s="265" t="s">
        <v>6</v>
      </c>
      <c r="B5" s="207"/>
      <c r="C5" s="266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68" t="s">
        <v>13</v>
      </c>
      <c r="K5" s="268" t="s">
        <v>14</v>
      </c>
      <c r="L5" s="268" t="s">
        <v>15</v>
      </c>
      <c r="M5" s="278" t="s">
        <v>62</v>
      </c>
      <c r="N5" s="268" t="s">
        <v>86</v>
      </c>
      <c r="O5" s="268"/>
      <c r="P5" s="268"/>
      <c r="Q5" s="269" t="s">
        <v>3</v>
      </c>
      <c r="R5" s="270" t="s">
        <v>4</v>
      </c>
      <c r="S5" s="271" t="s">
        <v>2</v>
      </c>
      <c r="T5" s="271"/>
      <c r="U5" s="44"/>
      <c r="V5" s="247" t="s">
        <v>81</v>
      </c>
      <c r="W5" s="247" t="s">
        <v>70</v>
      </c>
      <c r="X5" s="247" t="s">
        <v>63</v>
      </c>
      <c r="Y5" s="250" t="s">
        <v>35</v>
      </c>
      <c r="Z5" s="251" t="s">
        <v>85</v>
      </c>
      <c r="AA5" s="260" t="s">
        <v>68</v>
      </c>
      <c r="AB5" s="260" t="s">
        <v>69</v>
      </c>
      <c r="AC5" s="288" t="s">
        <v>71</v>
      </c>
      <c r="AE5" s="262" t="s">
        <v>84</v>
      </c>
      <c r="AF5" s="263"/>
      <c r="AH5" s="208" t="s">
        <v>115</v>
      </c>
    </row>
    <row r="6" spans="1:32" ht="20.25" customHeight="1">
      <c r="A6" s="265"/>
      <c r="B6" s="207"/>
      <c r="C6" s="267"/>
      <c r="E6" s="15"/>
      <c r="F6" s="15"/>
      <c r="G6" s="16"/>
      <c r="H6" s="15"/>
      <c r="I6" s="15"/>
      <c r="J6" s="268"/>
      <c r="K6" s="268"/>
      <c r="L6" s="268"/>
      <c r="M6" s="279"/>
      <c r="N6" s="268"/>
      <c r="O6" s="268"/>
      <c r="P6" s="268"/>
      <c r="Q6" s="269"/>
      <c r="R6" s="270"/>
      <c r="S6" s="225"/>
      <c r="T6" s="225"/>
      <c r="U6" s="226"/>
      <c r="V6" s="248"/>
      <c r="W6" s="248"/>
      <c r="X6" s="248"/>
      <c r="Y6" s="243"/>
      <c r="Z6" s="252"/>
      <c r="AA6" s="291"/>
      <c r="AB6" s="291"/>
      <c r="AC6" s="289"/>
      <c r="AD6" s="208"/>
      <c r="AE6" s="223"/>
      <c r="AF6" s="224"/>
    </row>
    <row r="7" spans="1:34" ht="111.75" customHeight="1">
      <c r="A7" s="265"/>
      <c r="B7" s="15" t="s">
        <v>113</v>
      </c>
      <c r="C7" s="267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68"/>
      <c r="K7" s="268"/>
      <c r="L7" s="268"/>
      <c r="M7" s="280"/>
      <c r="N7" s="268"/>
      <c r="O7" s="268"/>
      <c r="P7" s="268"/>
      <c r="Q7" s="269"/>
      <c r="R7" s="269"/>
      <c r="S7" s="264" t="s">
        <v>5</v>
      </c>
      <c r="T7" s="264"/>
      <c r="U7" s="42"/>
      <c r="V7" s="249"/>
      <c r="W7" s="272"/>
      <c r="X7" s="249"/>
      <c r="Y7" s="244"/>
      <c r="Z7" s="253"/>
      <c r="AA7" s="261"/>
      <c r="AB7" s="261"/>
      <c r="AC7" s="290"/>
      <c r="AD7" s="209" t="s">
        <v>114</v>
      </c>
      <c r="AE7" s="209" t="s">
        <v>114</v>
      </c>
      <c r="AF7" s="209" t="s">
        <v>114</v>
      </c>
      <c r="AG7" s="209" t="s">
        <v>150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M10+M17+M24+M28+#REF!+M34+M35+M38+M39+M43+M49+M16+M52+M53+M54+M55+M56+M57+#REF!+M61+M65</f>
        <v>#REF!</v>
      </c>
      <c r="N9" s="46" t="e">
        <f>N10+N17+N24+N28+#REF!+N34+N35+N38+N39+N43+N49+N16+N52+N53+N54+N55+N56+N57+#REF!+N61+N65</f>
        <v>#VALUE!</v>
      </c>
      <c r="O9" s="46" t="e">
        <f>O10+O17+O24+O28+#REF!+O34+O35+O38+O39+O43+O49+O16+O52+O53+O54+O55+O56+O57+#REF!+O61+O65</f>
        <v>#REF!</v>
      </c>
      <c r="P9" s="109" t="e">
        <f>P10+P17+P24+P28+P33+P38+P39+P46+P49+P52+P53+P54+P55+P56+P57+P65</f>
        <v>#REF!</v>
      </c>
      <c r="Q9" s="110" t="e">
        <f>Q10+Q17+Q24+Q28+#REF!+Q34+Q35+Q38+Q39+Q43+Q49+Q16+Q52+Q53+Q54+Q55+Q56+Q57+#REF!+Q61+Q65</f>
        <v>#REF!</v>
      </c>
      <c r="R9" s="110" t="e">
        <f>R10+R17+R24+R28+#REF!+R34+R35+R38+R39+R43+R49+R16+R52+R53+R54+R55+R56+R57+#REF!+R61+R65</f>
        <v>#REF!</v>
      </c>
      <c r="S9" s="110" t="e">
        <f>S10+S17+S24+S28+#REF!+S34+S35+S38+S39+S43+S49+S16+S52+S53+S54+S55+S56+S57+#REF!+S61+S65</f>
        <v>#REF!</v>
      </c>
      <c r="T9" s="110" t="e">
        <f>T10+T17+T24+T28+#REF!+T34+T35+T38+T39+T43+T49+T16+T52+T53+T54+T55+T56+T57+#REF!+T61+T65</f>
        <v>#REF!</v>
      </c>
      <c r="U9" s="110" t="e">
        <f>U10+U17+U24+U28+#REF!+U34+U35+U38+U39+U43+U49+U16+U52+U53+U54+U55+U56+U57+#REF!+U61+U65</f>
        <v>#REF!</v>
      </c>
      <c r="V9" s="110" t="e">
        <f>V10+V17+V24+V28+#REF!+V34+V35+V38+V39+V43+V49+V16+V52+V53+V54+V55+V56+V57+#REF!+V61+V65</f>
        <v>#REF!</v>
      </c>
      <c r="W9" s="114" t="e">
        <f>W13+W28+#REF!+W40</f>
        <v>#REF!</v>
      </c>
      <c r="X9" s="110" t="e">
        <f>X10+X17+X24+X28+#REF!+X43+X16+X34+X49+X52+X35+X54+X38+X55+X57+X53+X56+X39</f>
        <v>#REF!</v>
      </c>
      <c r="Y9" s="112" t="e">
        <f>X9/P9*100</f>
        <v>#REF!</v>
      </c>
      <c r="Z9" s="109" t="e">
        <f>Z10+Z17+Z24+Z28+Z33+Z38+Z39+Z46+Z49+Z52+Z53+Z54+Z55+Z56+Z57+Z66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AD10+AD17+AD24+AD28+AD33+AD38+AD39+AD46+AD49+AD52+AD53+AD54+AD55+AD56+AD57</f>
        <v>59071982.722149</v>
      </c>
      <c r="AE9" s="109">
        <f>AE10+AE17+AE24+AE28+AE33+AE38+AE39+AE46+AE49+AE52+AE53+AE54+AE55+AE56+AE57</f>
        <v>8781903.418557154</v>
      </c>
      <c r="AF9" s="109">
        <f>AF10+AF17+AF24+AF28+AF33+AF38+AF39+AF46+AF49+AF52+AF53+AF54+AF55+AF56+AF57</f>
        <v>8481298.39298127</v>
      </c>
      <c r="AG9" s="109">
        <f>AG10+AG17+AG24+AG28+AG33+AG38+AG39+AG46+AG49+AG52+AG53+AG54+AG55+AG56+AG57</f>
        <v>12550184.41</v>
      </c>
      <c r="AH9" s="230">
        <f>AG9/AD9*100</f>
        <v>21.24557841410378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P11+P12+P14+P13+P16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Z11+Z12+Z14+Z13+Z16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AD11+AD12+AD14+AD13+AD16+AD15</f>
        <v>13853491.25</v>
      </c>
      <c r="AE10" s="147">
        <f>AE11+AE12+AE14+AE13+AE16+AE15</f>
        <v>490.4169145362248</v>
      </c>
      <c r="AF10" s="147">
        <f>AF11+AF12+AF14+AF13+AF16+AF15</f>
        <v>492.59979970173356</v>
      </c>
      <c r="AG10" s="147">
        <f>AG11+AG12+AG14+AG13+AG16+AG15</f>
        <v>3094099.61</v>
      </c>
      <c r="AH10" s="231">
        <f>AG10/AD10*100</f>
        <v>22.334439414324528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40">
        <f>451196.53+332740.16</f>
        <v>783936.69</v>
      </c>
      <c r="AH11" s="232">
        <f aca="true" t="shared" si="3" ref="AH11:AH67">AG11/AD11*100</f>
        <v>18.295254376417816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f>8196115.58-133538</f>
        <v>8062577.58</v>
      </c>
      <c r="AE12" s="187">
        <f>AD12*100/P12</f>
        <v>131.79530167552105</v>
      </c>
      <c r="AF12" s="187">
        <f>Z12*100/P12</f>
        <v>133.97818684102984</v>
      </c>
      <c r="AG12" s="240">
        <f>1043663.87+1051800.53</f>
        <v>2095464.4</v>
      </c>
      <c r="AH12" s="232">
        <f t="shared" si="3"/>
        <v>25.99000603973103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81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3" t="s">
        <v>73</v>
      </c>
      <c r="AD13" s="97">
        <v>0</v>
      </c>
      <c r="AE13" s="187"/>
      <c r="AF13" s="187"/>
      <c r="AG13" s="240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82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20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4"/>
      <c r="AD14" s="97">
        <v>477177</v>
      </c>
      <c r="AE14" s="187">
        <f aca="true" t="shared" si="5" ref="AE14:AE35">AD14*100/P14</f>
        <v>140.18125734430083</v>
      </c>
      <c r="AF14" s="187">
        <f aca="true" t="shared" si="6" ref="AF14:AF35">Z14*100/P14</f>
        <v>140.18125734430083</v>
      </c>
      <c r="AG14" s="240">
        <f>38352.05+32179.65+6772.4</f>
        <v>77304.1</v>
      </c>
      <c r="AH14" s="232">
        <f t="shared" si="3"/>
        <v>16.200298840891328</v>
      </c>
    </row>
    <row r="15" spans="1:34" ht="19.5">
      <c r="A15" s="22"/>
      <c r="B15" s="22"/>
      <c r="C15" s="195"/>
      <c r="D15" s="56" t="s">
        <v>149</v>
      </c>
      <c r="E15" s="53"/>
      <c r="F15" s="53"/>
      <c r="G15" s="53"/>
      <c r="H15" s="53"/>
      <c r="I15" s="53"/>
      <c r="J15" s="53"/>
      <c r="K15" s="53"/>
      <c r="L15" s="53"/>
      <c r="M15" s="57"/>
      <c r="N15" s="53"/>
      <c r="O15" s="58"/>
      <c r="P15" s="57"/>
      <c r="Q15" s="21"/>
      <c r="R15" s="91"/>
      <c r="S15" s="91"/>
      <c r="T15" s="36"/>
      <c r="U15" s="36"/>
      <c r="V15" s="35"/>
      <c r="W15" s="239"/>
      <c r="X15" s="21"/>
      <c r="Y15" s="59"/>
      <c r="Z15" s="98"/>
      <c r="AA15" s="93"/>
      <c r="AB15" s="99"/>
      <c r="AC15" s="100"/>
      <c r="AD15" s="97">
        <v>133538</v>
      </c>
      <c r="AE15" s="187"/>
      <c r="AF15" s="187"/>
      <c r="AG15" s="240">
        <v>0</v>
      </c>
      <c r="AH15" s="232">
        <f t="shared" si="3"/>
        <v>0</v>
      </c>
    </row>
    <row r="16" spans="1:34" ht="19.5">
      <c r="A16" s="22"/>
      <c r="B16" s="22"/>
      <c r="C16" s="195" t="s">
        <v>49</v>
      </c>
      <c r="D16" s="52" t="s">
        <v>95</v>
      </c>
      <c r="E16" s="53">
        <f>31.3+21.5</f>
        <v>52.8</v>
      </c>
      <c r="F16" s="53">
        <f>E16</f>
        <v>52.8</v>
      </c>
      <c r="G16" s="53">
        <v>0</v>
      </c>
      <c r="H16" s="53">
        <f>F16</f>
        <v>52.8</v>
      </c>
      <c r="I16" s="53">
        <v>100</v>
      </c>
      <c r="J16" s="53">
        <v>0</v>
      </c>
      <c r="K16" s="53">
        <v>52.8</v>
      </c>
      <c r="L16" s="53" t="s">
        <v>16</v>
      </c>
      <c r="M16" s="68">
        <v>821358.2</v>
      </c>
      <c r="N16" s="53" t="s">
        <v>16</v>
      </c>
      <c r="O16" s="102">
        <f>P16+Q16</f>
        <v>1642716.4</v>
      </c>
      <c r="P16" s="57">
        <f>Q16+R16</f>
        <v>821358.2</v>
      </c>
      <c r="Q16" s="62">
        <v>821358.2</v>
      </c>
      <c r="R16" s="184"/>
      <c r="S16" s="184"/>
      <c r="T16" s="71">
        <f>57313.38+61144.73+58977.29+61169.9+64788.11+63325.73+67704.89+66130.42+67368.74+72480.48</f>
        <v>640403.6699999999</v>
      </c>
      <c r="U16" s="71"/>
      <c r="V16" s="71">
        <v>895280.44</v>
      </c>
      <c r="W16" s="71"/>
      <c r="X16" s="62">
        <f>57313.38+61144.73+58977.29+61169.9+64788.11+63325.73+67704.89+66130.42+67368.74+72480.48</f>
        <v>640403.6699999999</v>
      </c>
      <c r="Y16" s="64">
        <f t="shared" si="4"/>
        <v>77.96886547184894</v>
      </c>
      <c r="Z16" s="98">
        <v>895280.44</v>
      </c>
      <c r="AA16" s="93"/>
      <c r="AB16" s="99"/>
      <c r="AC16" s="100"/>
      <c r="AD16" s="97">
        <f>Z16</f>
        <v>895280.44</v>
      </c>
      <c r="AE16" s="187">
        <f t="shared" si="5"/>
        <v>109.00000024349913</v>
      </c>
      <c r="AF16" s="187">
        <f t="shared" si="6"/>
        <v>109.00000024349913</v>
      </c>
      <c r="AG16" s="240">
        <f>69102.18+68292.24</f>
        <v>137394.41999999998</v>
      </c>
      <c r="AH16" s="232">
        <f t="shared" si="3"/>
        <v>15.346523152008102</v>
      </c>
    </row>
    <row r="17" spans="1:34" ht="18.75">
      <c r="A17" s="13" t="s">
        <v>26</v>
      </c>
      <c r="B17" s="13" t="s">
        <v>21</v>
      </c>
      <c r="C17" s="194"/>
      <c r="D17" s="144" t="s">
        <v>89</v>
      </c>
      <c r="E17" s="145">
        <v>5449.4</v>
      </c>
      <c r="F17" s="145">
        <f>E17</f>
        <v>5449.4</v>
      </c>
      <c r="G17" s="145">
        <v>1012.4</v>
      </c>
      <c r="H17" s="145">
        <v>4437</v>
      </c>
      <c r="I17" s="145">
        <v>8582.5</v>
      </c>
      <c r="J17" s="145">
        <v>1513.5</v>
      </c>
      <c r="K17" s="145">
        <v>4437</v>
      </c>
      <c r="L17" s="145"/>
      <c r="M17" s="146">
        <f>M18+M19+M22+M20+M23</f>
        <v>5469440</v>
      </c>
      <c r="N17" s="146">
        <f>N18+N19+N22+N20+N23</f>
        <v>0</v>
      </c>
      <c r="O17" s="146">
        <f>O18+O19+O22+O20+O23</f>
        <v>14216880</v>
      </c>
      <c r="P17" s="147">
        <f>P18+P19+P22+P20+P23+P21</f>
        <v>5469440</v>
      </c>
      <c r="Q17" s="146">
        <f>Q18+Q19+Q22+Q20+Q23</f>
        <v>8999440</v>
      </c>
      <c r="R17" s="149"/>
      <c r="S17" s="149"/>
      <c r="T17" s="151">
        <f>T18+T19+T22+T20+T23</f>
        <v>5903520.42</v>
      </c>
      <c r="U17" s="151"/>
      <c r="V17" s="146">
        <f>V18+V19+V22+V20+V23</f>
        <v>11520000</v>
      </c>
      <c r="W17" s="146"/>
      <c r="X17" s="146">
        <f>X18+X19+X22+X20+X23</f>
        <v>5074108.42</v>
      </c>
      <c r="Y17" s="171">
        <f t="shared" si="4"/>
        <v>92.77199164813949</v>
      </c>
      <c r="Z17" s="147">
        <f>Z18+Z19+Z22+Z20+Z23+Z21</f>
        <v>11520000</v>
      </c>
      <c r="AA17" s="146">
        <f>Z17/P17*100</f>
        <v>210.62485373274046</v>
      </c>
      <c r="AB17" s="148">
        <f>Z17-P17</f>
        <v>6050560</v>
      </c>
      <c r="AC17" s="149"/>
      <c r="AD17" s="150">
        <f>AD18+AD19+AD22+AD20+AD21+AD23</f>
        <v>6112464.640000001</v>
      </c>
      <c r="AE17" s="150">
        <f>AE18+AE19+AE22+AE20+AE21+AE23</f>
        <v>788.46013986014</v>
      </c>
      <c r="AF17" s="150">
        <f>AF18+AF19+AF22+AF20+AF21+AF23</f>
        <v>1656.4939964083262</v>
      </c>
      <c r="AG17" s="150">
        <f>AG18+AG19+AG22+AG20+AG21+AG23</f>
        <v>1366275</v>
      </c>
      <c r="AH17" s="231">
        <f t="shared" si="3"/>
        <v>22.352276544212447</v>
      </c>
    </row>
    <row r="18" spans="1:34" ht="19.5">
      <c r="A18" s="22"/>
      <c r="B18" s="22"/>
      <c r="C18" s="195" t="s">
        <v>50</v>
      </c>
      <c r="D18" s="199" t="s">
        <v>105</v>
      </c>
      <c r="E18" s="54"/>
      <c r="F18" s="54"/>
      <c r="G18" s="54"/>
      <c r="H18" s="54"/>
      <c r="I18" s="54"/>
      <c r="J18" s="54"/>
      <c r="K18" s="54"/>
      <c r="L18" s="54"/>
      <c r="M18" s="62">
        <v>1799360</v>
      </c>
      <c r="N18" s="104"/>
      <c r="O18" s="58">
        <f>P18+Q18</f>
        <v>3598720</v>
      </c>
      <c r="P18" s="57">
        <f>Q18+R18</f>
        <v>1799360</v>
      </c>
      <c r="Q18" s="21">
        <v>1799360</v>
      </c>
      <c r="R18" s="184"/>
      <c r="S18" s="184"/>
      <c r="T18" s="36">
        <f>217430.51+24131.1+75354.44+26310+83994+124498.5+49141.8+90561.58+85135+265612.24+37000+95901+94500+48300+179347.42+146901.8+86841.09+62893.68+5505.6</f>
        <v>1799359.76</v>
      </c>
      <c r="U18" s="36"/>
      <c r="V18" s="185">
        <v>4550000</v>
      </c>
      <c r="W18" s="106"/>
      <c r="X18" s="21">
        <f>217430.51+24131.1+75354.44+26310+83994+124498.5+49141.8+90561.58+85135+265612.24+37000+95901+94500+48300+179347.42+146901.8+86841.09+62893.68+5505.6</f>
        <v>1799359.76</v>
      </c>
      <c r="Y18" s="64">
        <f t="shared" si="4"/>
        <v>99.99998666192424</v>
      </c>
      <c r="Z18" s="98">
        <v>4550000</v>
      </c>
      <c r="AA18" s="93">
        <f>Z18/P18*100</f>
        <v>252.86768628845812</v>
      </c>
      <c r="AB18" s="94">
        <f>Z18-P18</f>
        <v>2750640</v>
      </c>
      <c r="AC18" s="95"/>
      <c r="AD18" s="92">
        <f aca="true" t="shared" si="7" ref="AD18:AD23">P18+P18*8.1%</f>
        <v>1945108.16</v>
      </c>
      <c r="AE18" s="187">
        <f t="shared" si="5"/>
        <v>108.1</v>
      </c>
      <c r="AF18" s="187">
        <f t="shared" si="6"/>
        <v>252.86768628845812</v>
      </c>
      <c r="AG18" s="240"/>
      <c r="AH18" s="232">
        <f t="shared" si="3"/>
        <v>0</v>
      </c>
    </row>
    <row r="19" spans="1:34" ht="20.25" customHeight="1">
      <c r="A19" s="22"/>
      <c r="B19" s="22"/>
      <c r="C19" s="195" t="s">
        <v>50</v>
      </c>
      <c r="D19" s="52" t="s">
        <v>17</v>
      </c>
      <c r="E19" s="54"/>
      <c r="F19" s="54"/>
      <c r="G19" s="54"/>
      <c r="H19" s="54"/>
      <c r="I19" s="54"/>
      <c r="J19" s="54"/>
      <c r="K19" s="54"/>
      <c r="L19" s="54"/>
      <c r="M19" s="62">
        <f>45000+98000</f>
        <v>143000</v>
      </c>
      <c r="N19" s="104"/>
      <c r="O19" s="58">
        <f>P19+Q19</f>
        <v>286000</v>
      </c>
      <c r="P19" s="57">
        <f>Q19+R19</f>
        <v>143000</v>
      </c>
      <c r="Q19" s="21">
        <f>45000+98000</f>
        <v>143000</v>
      </c>
      <c r="R19" s="184"/>
      <c r="S19" s="184"/>
      <c r="T19" s="36">
        <f>30000+97950+15000</f>
        <v>142950</v>
      </c>
      <c r="U19" s="36"/>
      <c r="V19" s="185">
        <v>275000</v>
      </c>
      <c r="W19" s="106"/>
      <c r="X19" s="21">
        <f>30000+97950+15000</f>
        <v>142950</v>
      </c>
      <c r="Y19" s="64">
        <f t="shared" si="4"/>
        <v>99.96503496503496</v>
      </c>
      <c r="Z19" s="98">
        <v>275000</v>
      </c>
      <c r="AA19" s="93">
        <f>Z19/P19*100</f>
        <v>192.30769230769232</v>
      </c>
      <c r="AB19" s="94">
        <f>Z19-P19</f>
        <v>132000</v>
      </c>
      <c r="AC19" s="95"/>
      <c r="AD19" s="92">
        <f>P19+P19*8.1%+200000</f>
        <v>354583</v>
      </c>
      <c r="AE19" s="187">
        <f t="shared" si="5"/>
        <v>247.96013986013986</v>
      </c>
      <c r="AF19" s="187">
        <f t="shared" si="6"/>
        <v>192.30769230769232</v>
      </c>
      <c r="AG19" s="240">
        <f>91275+63300</f>
        <v>154575</v>
      </c>
      <c r="AH19" s="232">
        <f t="shared" si="3"/>
        <v>43.593460487389414</v>
      </c>
    </row>
    <row r="20" spans="1:34" ht="18.75" customHeight="1">
      <c r="A20" s="22"/>
      <c r="B20" s="22"/>
      <c r="C20" s="195" t="s">
        <v>50</v>
      </c>
      <c r="D20" s="52" t="s">
        <v>87</v>
      </c>
      <c r="E20" s="54"/>
      <c r="F20" s="54"/>
      <c r="G20" s="54"/>
      <c r="H20" s="54"/>
      <c r="I20" s="54"/>
      <c r="J20" s="54"/>
      <c r="K20" s="54"/>
      <c r="L20" s="54"/>
      <c r="M20" s="62">
        <f>252000+175000</f>
        <v>427000</v>
      </c>
      <c r="N20" s="104"/>
      <c r="O20" s="58">
        <f>P20+Q20</f>
        <v>602000</v>
      </c>
      <c r="P20" s="57">
        <v>175000</v>
      </c>
      <c r="Q20" s="21">
        <f>252000+175000</f>
        <v>427000</v>
      </c>
      <c r="R20" s="184"/>
      <c r="S20" s="184"/>
      <c r="T20" s="36">
        <f>34750+28250+25000+31750+25000+32000+25000+45500+70000+25000+34750</f>
        <v>377000</v>
      </c>
      <c r="U20" s="36"/>
      <c r="V20" s="185">
        <v>900000</v>
      </c>
      <c r="W20" s="106"/>
      <c r="X20" s="21">
        <f>34750+28250+25000+31750+25000+32000+25000+45500+70000+25000+34750+25000</f>
        <v>402000</v>
      </c>
      <c r="Y20" s="64">
        <f t="shared" si="4"/>
        <v>229.71428571428572</v>
      </c>
      <c r="Z20" s="98">
        <v>200000</v>
      </c>
      <c r="AA20" s="93">
        <f>Z20/P20*100</f>
        <v>114.28571428571428</v>
      </c>
      <c r="AB20" s="94">
        <f>Z20-P20</f>
        <v>25000</v>
      </c>
      <c r="AC20" s="95"/>
      <c r="AD20" s="92">
        <f t="shared" si="7"/>
        <v>189175</v>
      </c>
      <c r="AE20" s="187">
        <f t="shared" si="5"/>
        <v>108.1</v>
      </c>
      <c r="AF20" s="187">
        <f t="shared" si="6"/>
        <v>114.28571428571429</v>
      </c>
      <c r="AG20" s="240"/>
      <c r="AH20" s="232">
        <f t="shared" si="3"/>
        <v>0</v>
      </c>
    </row>
    <row r="21" spans="1:34" ht="20.25" customHeight="1">
      <c r="A21" s="22"/>
      <c r="B21" s="202"/>
      <c r="C21" s="275" t="s">
        <v>88</v>
      </c>
      <c r="D21" s="52" t="s">
        <v>119</v>
      </c>
      <c r="E21" s="54"/>
      <c r="F21" s="54"/>
      <c r="G21" s="54"/>
      <c r="H21" s="54"/>
      <c r="I21" s="54"/>
      <c r="J21" s="54"/>
      <c r="K21" s="54"/>
      <c r="L21" s="54"/>
      <c r="M21" s="62"/>
      <c r="N21" s="104"/>
      <c r="O21" s="58"/>
      <c r="P21" s="57">
        <v>252000</v>
      </c>
      <c r="Q21" s="21"/>
      <c r="R21" s="184"/>
      <c r="S21" s="184"/>
      <c r="T21" s="36"/>
      <c r="U21" s="36"/>
      <c r="V21" s="185"/>
      <c r="W21" s="106"/>
      <c r="X21" s="21"/>
      <c r="Y21" s="64"/>
      <c r="Z21" s="98">
        <v>700000</v>
      </c>
      <c r="AA21" s="93"/>
      <c r="AB21" s="94"/>
      <c r="AC21" s="95"/>
      <c r="AD21" s="92">
        <f t="shared" si="7"/>
        <v>272412</v>
      </c>
      <c r="AE21" s="187">
        <f t="shared" si="5"/>
        <v>108.1</v>
      </c>
      <c r="AF21" s="187">
        <f t="shared" si="6"/>
        <v>277.77777777777777</v>
      </c>
      <c r="AG21" s="240"/>
      <c r="AH21" s="232">
        <f t="shared" si="3"/>
        <v>0</v>
      </c>
    </row>
    <row r="22" spans="1:34" ht="40.5" customHeight="1">
      <c r="A22" s="22"/>
      <c r="B22" s="203"/>
      <c r="C22" s="276"/>
      <c r="D22" s="52" t="s">
        <v>18</v>
      </c>
      <c r="E22" s="54"/>
      <c r="F22" s="54"/>
      <c r="G22" s="54"/>
      <c r="H22" s="54"/>
      <c r="I22" s="54"/>
      <c r="J22" s="54"/>
      <c r="K22" s="54"/>
      <c r="L22" s="54"/>
      <c r="M22" s="62">
        <f>1231480+1589000+180000+29600</f>
        <v>3030080</v>
      </c>
      <c r="N22" s="104"/>
      <c r="O22" s="58">
        <f>P22+Q22</f>
        <v>6060160</v>
      </c>
      <c r="P22" s="57">
        <f>Q22+R22</f>
        <v>3030080</v>
      </c>
      <c r="Q22" s="21">
        <f>1231480+1589000+180000+29600</f>
        <v>3030080</v>
      </c>
      <c r="R22" s="184"/>
      <c r="S22" s="184"/>
      <c r="T22" s="36">
        <f>95028.5+188463.6+68400+157936.81+158389.75+145896+29600+29783+198012+97921.6+193183.5+70992+147900+44992.5+21677.5+14703+58116+88392+107822+50854.4+71688+74646+6000+161762+123612.5+114360+30800+133278</f>
        <v>2684210.66</v>
      </c>
      <c r="U22" s="36"/>
      <c r="V22" s="185">
        <v>5345000</v>
      </c>
      <c r="W22" s="106"/>
      <c r="X22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2" s="59">
        <f aca="true" t="shared" si="8" ref="Y22:Y32">X22/P22*100</f>
        <v>90.08998640299927</v>
      </c>
      <c r="Z22" s="98">
        <v>5345000</v>
      </c>
      <c r="AA22" s="93">
        <f aca="true" t="shared" si="9" ref="AA22:AA32">Z22/P22*100</f>
        <v>176.39798289154083</v>
      </c>
      <c r="AB22" s="94">
        <f aca="true" t="shared" si="10" ref="AB22:AB32">Z22-P22</f>
        <v>2314920</v>
      </c>
      <c r="AC22" s="95"/>
      <c r="AD22" s="92">
        <f t="shared" si="7"/>
        <v>3275516.48</v>
      </c>
      <c r="AE22" s="187">
        <f t="shared" si="5"/>
        <v>108.1</v>
      </c>
      <c r="AF22" s="187">
        <f t="shared" si="6"/>
        <v>176.3979828915408</v>
      </c>
      <c r="AG22" s="240">
        <f>650252+225720+335728</f>
        <v>1211700</v>
      </c>
      <c r="AH22" s="232">
        <f t="shared" si="3"/>
        <v>36.99263940201577</v>
      </c>
    </row>
    <row r="23" spans="1:34" ht="19.5" customHeight="1">
      <c r="A23" s="22"/>
      <c r="B23" s="204"/>
      <c r="C23" s="277"/>
      <c r="D23" s="52" t="s">
        <v>19</v>
      </c>
      <c r="E23" s="54"/>
      <c r="F23" s="54"/>
      <c r="G23" s="54"/>
      <c r="H23" s="54"/>
      <c r="I23" s="54"/>
      <c r="J23" s="54"/>
      <c r="K23" s="54"/>
      <c r="L23" s="54"/>
      <c r="M23" s="62">
        <v>70000</v>
      </c>
      <c r="N23" s="104"/>
      <c r="O23" s="58">
        <f>P23+Q23</f>
        <v>3670000</v>
      </c>
      <c r="P23" s="57">
        <v>70000</v>
      </c>
      <c r="Q23" s="58">
        <f>R23+S23</f>
        <v>3600000</v>
      </c>
      <c r="R23" s="58">
        <f>S23+T23</f>
        <v>2250000</v>
      </c>
      <c r="S23" s="58">
        <f>T23+U23</f>
        <v>1350000</v>
      </c>
      <c r="T23" s="58">
        <f>U23+V23</f>
        <v>900000</v>
      </c>
      <c r="U23" s="58">
        <f>V23+W23</f>
        <v>450000</v>
      </c>
      <c r="V23" s="58">
        <v>450000</v>
      </c>
      <c r="W23" s="106"/>
      <c r="X23" s="21">
        <v>0</v>
      </c>
      <c r="Y23" s="64">
        <f t="shared" si="8"/>
        <v>0</v>
      </c>
      <c r="Z23" s="98">
        <v>450000</v>
      </c>
      <c r="AA23" s="93">
        <f t="shared" si="9"/>
        <v>642.8571428571429</v>
      </c>
      <c r="AB23" s="94">
        <f t="shared" si="10"/>
        <v>380000</v>
      </c>
      <c r="AC23" s="95"/>
      <c r="AD23" s="92">
        <f t="shared" si="7"/>
        <v>75670</v>
      </c>
      <c r="AE23" s="187">
        <f t="shared" si="5"/>
        <v>108.1</v>
      </c>
      <c r="AF23" s="187">
        <f t="shared" si="6"/>
        <v>642.8571428571429</v>
      </c>
      <c r="AG23" s="240"/>
      <c r="AH23" s="232">
        <f t="shared" si="3"/>
        <v>0</v>
      </c>
    </row>
    <row r="24" spans="1:34" ht="19.5" customHeight="1">
      <c r="A24" s="13" t="s">
        <v>27</v>
      </c>
      <c r="B24" s="13" t="s">
        <v>124</v>
      </c>
      <c r="C24" s="194"/>
      <c r="D24" s="144" t="s">
        <v>101</v>
      </c>
      <c r="E24" s="145">
        <f>256.5+80.3</f>
        <v>336.8</v>
      </c>
      <c r="F24" s="145">
        <f>E24</f>
        <v>336.8</v>
      </c>
      <c r="G24" s="145">
        <f>74+23.5</f>
        <v>97.5</v>
      </c>
      <c r="H24" s="145">
        <f>F24-G24</f>
        <v>239.3</v>
      </c>
      <c r="I24" s="145">
        <f>1056.05-187.9-170</f>
        <v>698.15</v>
      </c>
      <c r="J24" s="145">
        <v>74.25</v>
      </c>
      <c r="K24" s="145">
        <v>239.3</v>
      </c>
      <c r="L24" s="145"/>
      <c r="M24" s="152">
        <f>M26+M27+M25</f>
        <v>625900</v>
      </c>
      <c r="N24" s="145" t="s">
        <v>16</v>
      </c>
      <c r="O24" s="152">
        <f>P24+Q24</f>
        <v>1251800</v>
      </c>
      <c r="P24" s="147">
        <f>Q24+R24</f>
        <v>625900</v>
      </c>
      <c r="Q24" s="146">
        <f>Q25+Q26+Q27</f>
        <v>625900</v>
      </c>
      <c r="R24" s="149"/>
      <c r="S24" s="149"/>
      <c r="T24" s="151">
        <f>T25+T26+T27</f>
        <v>441324.46</v>
      </c>
      <c r="U24" s="151"/>
      <c r="V24" s="152">
        <f>V26+V27+V25</f>
        <v>637789.921</v>
      </c>
      <c r="W24" s="152"/>
      <c r="X24" s="146">
        <f>X25+X26+X27</f>
        <v>441324.46</v>
      </c>
      <c r="Y24" s="171">
        <f t="shared" si="8"/>
        <v>70.51037865473718</v>
      </c>
      <c r="Z24" s="147">
        <f>Z25+Z26+Z27</f>
        <v>1169762.37</v>
      </c>
      <c r="AA24" s="146">
        <f t="shared" si="9"/>
        <v>186.892853490973</v>
      </c>
      <c r="AB24" s="148">
        <f t="shared" si="10"/>
        <v>543862.3700000001</v>
      </c>
      <c r="AC24" s="149"/>
      <c r="AD24" s="147">
        <f>AD25+AD26+AD27</f>
        <v>855303.1100000001</v>
      </c>
      <c r="AE24" s="147">
        <f>AE25+AE26+AE27</f>
        <v>381.4652938085051</v>
      </c>
      <c r="AF24" s="147">
        <f>AF25+AF26+AF27</f>
        <v>468.9959143579742</v>
      </c>
      <c r="AG24" s="147">
        <f>AG25+AG26+AG27</f>
        <v>0</v>
      </c>
      <c r="AH24" s="231">
        <f t="shared" si="3"/>
        <v>0</v>
      </c>
    </row>
    <row r="25" spans="1:34" ht="16.5" customHeight="1">
      <c r="A25" s="22"/>
      <c r="B25" s="22"/>
      <c r="C25" s="195" t="s">
        <v>52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7">
        <v>268000</v>
      </c>
      <c r="N25" s="53"/>
      <c r="O25" s="58">
        <f>P25+Q25</f>
        <v>718512.58</v>
      </c>
      <c r="P25" s="57">
        <f>Q25+R25</f>
        <v>359256.29</v>
      </c>
      <c r="Q25" s="21">
        <f>268000+91256.29</f>
        <v>359256.29</v>
      </c>
      <c r="R25" s="184"/>
      <c r="S25" s="184"/>
      <c r="T25" s="36">
        <f>18552.24+72107.68+23190.3+47175.33+23015.91+29757.33+62844.09+23190.03</f>
        <v>299832.91000000003</v>
      </c>
      <c r="U25" s="36"/>
      <c r="V25" s="106">
        <f>P25*(0.9)</f>
        <v>323330.66099999996</v>
      </c>
      <c r="W25" s="106"/>
      <c r="X25" s="21">
        <f>18552.24+72107.68+23190.3+47175.33+23015.91+29757.33+62844.09+23190.03</f>
        <v>299832.91000000003</v>
      </c>
      <c r="Y25" s="64">
        <f t="shared" si="8"/>
        <v>83.45933483864681</v>
      </c>
      <c r="Z25" s="98">
        <v>855303.11</v>
      </c>
      <c r="AA25" s="93">
        <f t="shared" si="9"/>
        <v>238.07602923250138</v>
      </c>
      <c r="AB25" s="94">
        <f t="shared" si="10"/>
        <v>496046.82</v>
      </c>
      <c r="AC25" s="254" t="s">
        <v>74</v>
      </c>
      <c r="AD25" s="98">
        <f>152908.76+129844.14+131189.32+126901.63</f>
        <v>540843.8500000001</v>
      </c>
      <c r="AE25" s="187">
        <f t="shared" si="5"/>
        <v>150.5454086830324</v>
      </c>
      <c r="AF25" s="187">
        <f t="shared" si="6"/>
        <v>238.0760292325014</v>
      </c>
      <c r="AG25" s="233"/>
      <c r="AH25" s="232">
        <f t="shared" si="3"/>
        <v>0</v>
      </c>
    </row>
    <row r="26" spans="1:34" ht="17.25" customHeight="1">
      <c r="A26" s="22"/>
      <c r="B26" s="22"/>
      <c r="C26" s="195" t="s">
        <v>52</v>
      </c>
      <c r="D26" s="52" t="s">
        <v>140</v>
      </c>
      <c r="E26" s="53"/>
      <c r="F26" s="53"/>
      <c r="G26" s="53"/>
      <c r="H26" s="53"/>
      <c r="I26" s="53"/>
      <c r="J26" s="53"/>
      <c r="K26" s="53"/>
      <c r="L26" s="53"/>
      <c r="M26" s="57">
        <v>170000</v>
      </c>
      <c r="N26" s="53"/>
      <c r="O26" s="58">
        <f>P26+Q26</f>
        <v>157487.42</v>
      </c>
      <c r="P26" s="57">
        <f>Q26+R26</f>
        <v>78743.71</v>
      </c>
      <c r="Q26" s="21">
        <f>170000-91256.29</f>
        <v>78743.71</v>
      </c>
      <c r="R26" s="184"/>
      <c r="S26" s="184"/>
      <c r="T26" s="36">
        <f>14766.18+14774.76+14766.18+14766.18+14766.18</f>
        <v>73839.48000000001</v>
      </c>
      <c r="U26" s="36"/>
      <c r="V26" s="106">
        <v>86161.65</v>
      </c>
      <c r="W26" s="106"/>
      <c r="X26" s="21">
        <f>14766.18+14774.76+14766.18+14766.18+14766.18</f>
        <v>73839.48000000001</v>
      </c>
      <c r="Y26" s="64">
        <f t="shared" si="8"/>
        <v>93.7719088927865</v>
      </c>
      <c r="Z26" s="98">
        <v>86161.65</v>
      </c>
      <c r="AA26" s="93">
        <f t="shared" si="9"/>
        <v>109.42035878167282</v>
      </c>
      <c r="AB26" s="94">
        <f t="shared" si="10"/>
        <v>7417.939999999988</v>
      </c>
      <c r="AC26" s="255"/>
      <c r="AD26" s="92">
        <f>Z26</f>
        <v>86161.65</v>
      </c>
      <c r="AE26" s="187">
        <f t="shared" si="5"/>
        <v>109.42035878167283</v>
      </c>
      <c r="AF26" s="187">
        <f t="shared" si="6"/>
        <v>109.42035878167283</v>
      </c>
      <c r="AG26" s="233"/>
      <c r="AH26" s="232">
        <f t="shared" si="3"/>
        <v>0</v>
      </c>
    </row>
    <row r="27" spans="1:34" ht="15" customHeight="1">
      <c r="A27" s="22"/>
      <c r="B27" s="22"/>
      <c r="C27" s="195" t="s">
        <v>52</v>
      </c>
      <c r="D27" s="52" t="s">
        <v>137</v>
      </c>
      <c r="E27" s="53">
        <f>173.3</f>
        <v>173.3</v>
      </c>
      <c r="F27" s="53">
        <f>173.3</f>
        <v>173.3</v>
      </c>
      <c r="G27" s="53">
        <v>83.4</v>
      </c>
      <c r="H27" s="53">
        <f>F27-G27</f>
        <v>89.9</v>
      </c>
      <c r="I27" s="53">
        <f>666.764-14.616-20</f>
        <v>632.148</v>
      </c>
      <c r="J27" s="53">
        <v>166.1</v>
      </c>
      <c r="K27" s="53">
        <v>89.9</v>
      </c>
      <c r="L27" s="53"/>
      <c r="M27" s="57">
        <v>187900</v>
      </c>
      <c r="N27" s="53" t="s">
        <v>16</v>
      </c>
      <c r="O27" s="58">
        <f>P27+Q27</f>
        <v>375800</v>
      </c>
      <c r="P27" s="57">
        <f>Q27+R27</f>
        <v>187900</v>
      </c>
      <c r="Q27" s="21">
        <v>187900</v>
      </c>
      <c r="R27" s="184"/>
      <c r="S27" s="184"/>
      <c r="T27" s="36">
        <f>2357.42+16410.77+16575.26+17703.29+14605.33</f>
        <v>67652.06999999999</v>
      </c>
      <c r="U27" s="36"/>
      <c r="V27" s="106">
        <v>228297.61</v>
      </c>
      <c r="W27" s="106"/>
      <c r="X27" s="21">
        <f>2357.42+16410.77+16575.26+17703.29+14605.33</f>
        <v>67652.06999999999</v>
      </c>
      <c r="Y27" s="64">
        <f t="shared" si="8"/>
        <v>36.00429483767961</v>
      </c>
      <c r="Z27" s="98">
        <v>228297.61</v>
      </c>
      <c r="AA27" s="93">
        <f t="shared" si="9"/>
        <v>121.49952634379989</v>
      </c>
      <c r="AB27" s="94">
        <f t="shared" si="10"/>
        <v>40397.609999999986</v>
      </c>
      <c r="AC27" s="256"/>
      <c r="AD27" s="92">
        <f>Z27</f>
        <v>228297.61</v>
      </c>
      <c r="AE27" s="187">
        <f t="shared" si="5"/>
        <v>121.4995263437999</v>
      </c>
      <c r="AF27" s="188">
        <f t="shared" si="6"/>
        <v>121.4995263437999</v>
      </c>
      <c r="AG27" s="233"/>
      <c r="AH27" s="232">
        <f t="shared" si="3"/>
        <v>0</v>
      </c>
    </row>
    <row r="28" spans="1:34" ht="21.75" customHeight="1">
      <c r="A28" s="13" t="s">
        <v>28</v>
      </c>
      <c r="B28" s="13" t="s">
        <v>125</v>
      </c>
      <c r="C28" s="194"/>
      <c r="D28" s="144" t="s">
        <v>102</v>
      </c>
      <c r="E28" s="61">
        <f>122.6+1881.1</f>
        <v>2003.6999999999998</v>
      </c>
      <c r="F28" s="61">
        <f>121.8+1840</f>
        <v>1961.8</v>
      </c>
      <c r="G28" s="61">
        <v>27.7</v>
      </c>
      <c r="H28" s="61">
        <f>F28-G28</f>
        <v>1934.1</v>
      </c>
      <c r="I28" s="61">
        <f>2239.093+25.0115+616.4775</f>
        <v>2880.582</v>
      </c>
      <c r="J28" s="61">
        <v>1332.8</v>
      </c>
      <c r="K28" s="61">
        <v>1934.1</v>
      </c>
      <c r="L28" s="61"/>
      <c r="M28" s="20">
        <f aca="true" t="shared" si="11" ref="M28:V28">M29+M30+M32</f>
        <v>2123000</v>
      </c>
      <c r="N28" s="20" t="e">
        <f t="shared" si="11"/>
        <v>#VALUE!</v>
      </c>
      <c r="O28" s="20">
        <f t="shared" si="11"/>
        <v>4246000</v>
      </c>
      <c r="P28" s="147">
        <f t="shared" si="11"/>
        <v>2123000</v>
      </c>
      <c r="Q28" s="20">
        <f t="shared" si="11"/>
        <v>2123000</v>
      </c>
      <c r="R28" s="20">
        <f t="shared" si="11"/>
        <v>0</v>
      </c>
      <c r="S28" s="20">
        <f t="shared" si="11"/>
        <v>0</v>
      </c>
      <c r="T28" s="20">
        <f t="shared" si="11"/>
        <v>1314272.7199999997</v>
      </c>
      <c r="U28" s="20">
        <f t="shared" si="11"/>
        <v>0</v>
      </c>
      <c r="V28" s="20">
        <f t="shared" si="11"/>
        <v>2480800</v>
      </c>
      <c r="W28" s="20">
        <f>W29</f>
        <v>1128700</v>
      </c>
      <c r="X28" s="20">
        <f>X29+X30+X32</f>
        <v>1314272.7199999997</v>
      </c>
      <c r="Y28" s="103">
        <f t="shared" si="8"/>
        <v>61.906392840320294</v>
      </c>
      <c r="Z28" s="147">
        <f>Z29+Z30+Z32</f>
        <v>2480800</v>
      </c>
      <c r="AA28" s="20">
        <f t="shared" si="9"/>
        <v>116.85350918511541</v>
      </c>
      <c r="AB28" s="43">
        <f t="shared" si="10"/>
        <v>357800</v>
      </c>
      <c r="AC28" s="257" t="s">
        <v>75</v>
      </c>
      <c r="AD28" s="147">
        <f>AD29+AD30+AD31+AD32</f>
        <v>2480800</v>
      </c>
      <c r="AE28" s="147">
        <f>AE29+AE30+AE31+AE32</f>
        <v>257.7373200603186</v>
      </c>
      <c r="AF28" s="147">
        <f>AF29+AF30+AF31+AF32</f>
        <v>293.5246720381467</v>
      </c>
      <c r="AG28" s="147">
        <f>AG29+AG30+AG31+AG32</f>
        <v>157765.61</v>
      </c>
      <c r="AH28" s="231">
        <f t="shared" si="3"/>
        <v>6.359465091905836</v>
      </c>
    </row>
    <row r="29" spans="1:34" ht="18" customHeight="1">
      <c r="A29" s="22"/>
      <c r="B29" s="22"/>
      <c r="C29" s="195" t="s">
        <v>53</v>
      </c>
      <c r="D29" s="65" t="s">
        <v>143</v>
      </c>
      <c r="E29" s="53"/>
      <c r="F29" s="53"/>
      <c r="G29" s="53"/>
      <c r="H29" s="53"/>
      <c r="I29" s="53"/>
      <c r="J29" s="53"/>
      <c r="K29" s="53"/>
      <c r="L29" s="53"/>
      <c r="M29" s="62">
        <f>1984500</f>
        <v>1984500</v>
      </c>
      <c r="N29" s="53"/>
      <c r="O29" s="58">
        <f aca="true" t="shared" si="12" ref="O29:P32">P29+Q29</f>
        <v>3969000</v>
      </c>
      <c r="P29" s="57">
        <f t="shared" si="12"/>
        <v>1984500</v>
      </c>
      <c r="Q29" s="21">
        <f>1984500</f>
        <v>1984500</v>
      </c>
      <c r="R29" s="105"/>
      <c r="S29" s="105"/>
      <c r="T29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9" s="36"/>
      <c r="V29" s="186">
        <v>2415500</v>
      </c>
      <c r="W29" s="106">
        <v>1128700</v>
      </c>
      <c r="X29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9" s="59">
        <f t="shared" si="8"/>
        <v>64.4961723356009</v>
      </c>
      <c r="Z29" s="98">
        <v>2415500</v>
      </c>
      <c r="AA29" s="20">
        <f t="shared" si="9"/>
        <v>121.7183169564122</v>
      </c>
      <c r="AB29" s="43">
        <f t="shared" si="10"/>
        <v>431000</v>
      </c>
      <c r="AC29" s="258"/>
      <c r="AD29" s="98">
        <v>1705300</v>
      </c>
      <c r="AE29" s="187">
        <f t="shared" si="5"/>
        <v>85.93096497858403</v>
      </c>
      <c r="AF29" s="188">
        <f t="shared" si="6"/>
        <v>121.7183169564122</v>
      </c>
      <c r="AG29" s="240">
        <f>24523.67+4769.34+10805.47+19081.78+3449.77</f>
        <v>62630.02999999999</v>
      </c>
      <c r="AH29" s="232">
        <f t="shared" si="3"/>
        <v>3.672669325045446</v>
      </c>
    </row>
    <row r="30" spans="1:34" s="1" customFormat="1" ht="17.25" customHeight="1">
      <c r="A30" s="22"/>
      <c r="B30" s="22"/>
      <c r="C30" s="195" t="s">
        <v>53</v>
      </c>
      <c r="D30" s="52" t="s">
        <v>136</v>
      </c>
      <c r="E30" s="53"/>
      <c r="F30" s="53"/>
      <c r="G30" s="53"/>
      <c r="H30" s="53"/>
      <c r="I30" s="53"/>
      <c r="J30" s="53"/>
      <c r="K30" s="53"/>
      <c r="L30" s="53"/>
      <c r="M30" s="62">
        <f>117815</f>
        <v>117815</v>
      </c>
      <c r="N30" s="53"/>
      <c r="O30" s="58">
        <f t="shared" si="12"/>
        <v>235630</v>
      </c>
      <c r="P30" s="57">
        <f t="shared" si="12"/>
        <v>117815</v>
      </c>
      <c r="Q30" s="21">
        <f>117815</f>
        <v>117815</v>
      </c>
      <c r="R30" s="105"/>
      <c r="S30" s="105"/>
      <c r="T30" s="36">
        <f>5874.96+10528.68+2678.52+4068.84+4824.24+994.56</f>
        <v>28969.8</v>
      </c>
      <c r="U30" s="36"/>
      <c r="V30" s="186">
        <v>36100</v>
      </c>
      <c r="W30" s="106"/>
      <c r="X30" s="21">
        <f>5874.96+10528.68+2678.52+4068.84+4824.24+994.56</f>
        <v>28969.8</v>
      </c>
      <c r="Y30" s="64">
        <f t="shared" si="8"/>
        <v>24.589228875779824</v>
      </c>
      <c r="Z30" s="98">
        <v>36100</v>
      </c>
      <c r="AA30" s="20">
        <f t="shared" si="9"/>
        <v>30.641259601918264</v>
      </c>
      <c r="AB30" s="43">
        <f t="shared" si="10"/>
        <v>-81715</v>
      </c>
      <c r="AC30" s="258"/>
      <c r="AD30" s="98">
        <f>Z30</f>
        <v>36100</v>
      </c>
      <c r="AE30" s="188">
        <f t="shared" si="5"/>
        <v>30.64125960191826</v>
      </c>
      <c r="AF30" s="187">
        <f t="shared" si="6"/>
        <v>30.64125960191826</v>
      </c>
      <c r="AG30" s="240"/>
      <c r="AH30" s="232">
        <f t="shared" si="3"/>
        <v>0</v>
      </c>
    </row>
    <row r="31" spans="1:34" s="1" customFormat="1" ht="17.25" customHeight="1">
      <c r="A31" s="22"/>
      <c r="B31" s="22"/>
      <c r="C31" s="195"/>
      <c r="D31" s="52" t="s">
        <v>138</v>
      </c>
      <c r="E31" s="53"/>
      <c r="F31" s="53"/>
      <c r="G31" s="53"/>
      <c r="H31" s="53"/>
      <c r="I31" s="53"/>
      <c r="J31" s="53"/>
      <c r="K31" s="53"/>
      <c r="L31" s="53"/>
      <c r="M31" s="62"/>
      <c r="N31" s="53"/>
      <c r="O31" s="58"/>
      <c r="P31" s="57"/>
      <c r="Q31" s="21"/>
      <c r="R31" s="105"/>
      <c r="S31" s="105"/>
      <c r="T31" s="36"/>
      <c r="U31" s="36"/>
      <c r="V31" s="186"/>
      <c r="W31" s="106"/>
      <c r="X31" s="21"/>
      <c r="Y31" s="64"/>
      <c r="Z31" s="98"/>
      <c r="AA31" s="20"/>
      <c r="AB31" s="43"/>
      <c r="AC31" s="258"/>
      <c r="AD31" s="98">
        <f>Z32</f>
        <v>29200</v>
      </c>
      <c r="AE31" s="188"/>
      <c r="AF31" s="187"/>
      <c r="AG31" s="240">
        <v>991.77</v>
      </c>
      <c r="AH31" s="232">
        <f t="shared" si="3"/>
        <v>3.396472602739726</v>
      </c>
    </row>
    <row r="32" spans="1:34" s="1" customFormat="1" ht="40.5" customHeight="1">
      <c r="A32" s="22"/>
      <c r="B32" s="22"/>
      <c r="C32" s="195" t="s">
        <v>53</v>
      </c>
      <c r="D32" s="65" t="s">
        <v>144</v>
      </c>
      <c r="E32" s="53">
        <v>22463.7</v>
      </c>
      <c r="F32" s="53">
        <f>7156.8+15302.9</f>
        <v>22459.7</v>
      </c>
      <c r="G32" s="53">
        <f>1375.6+2420.3</f>
        <v>3795.9</v>
      </c>
      <c r="H32" s="53">
        <v>18663.8</v>
      </c>
      <c r="I32" s="53">
        <v>26758.69305</v>
      </c>
      <c r="J32" s="53" t="e">
        <f>#REF!+#REF!+#REF!+#REF!</f>
        <v>#REF!</v>
      </c>
      <c r="K32" s="53" t="e">
        <f>#REF!+#REF!+#REF!+#REF!</f>
        <v>#REF!</v>
      </c>
      <c r="L32" s="53"/>
      <c r="M32" s="62">
        <v>20685</v>
      </c>
      <c r="N32" s="53" t="s">
        <v>16</v>
      </c>
      <c r="O32" s="58">
        <f t="shared" si="12"/>
        <v>41370</v>
      </c>
      <c r="P32" s="57">
        <f t="shared" si="12"/>
        <v>20685</v>
      </c>
      <c r="Q32" s="21">
        <v>20685</v>
      </c>
      <c r="R32" s="105"/>
      <c r="S32" s="105"/>
      <c r="T32" s="36">
        <f>848.74+587.05+557.5+750.92+889.87+917.3+825</f>
        <v>5376.38</v>
      </c>
      <c r="U32" s="36"/>
      <c r="V32" s="186">
        <v>29200</v>
      </c>
      <c r="W32" s="106"/>
      <c r="X32" s="21">
        <f>848.74+587.05+557.5+750.92+889.87+917.3+825</f>
        <v>5376.38</v>
      </c>
      <c r="Y32" s="64">
        <f t="shared" si="8"/>
        <v>25.991684795745712</v>
      </c>
      <c r="Z32" s="98">
        <v>29200</v>
      </c>
      <c r="AA32" s="20">
        <f t="shared" si="9"/>
        <v>141.16509547981627</v>
      </c>
      <c r="AB32" s="43">
        <f t="shared" si="10"/>
        <v>8515</v>
      </c>
      <c r="AC32" s="259"/>
      <c r="AD32" s="98">
        <f>680402.75+29797.25</f>
        <v>710200</v>
      </c>
      <c r="AE32" s="188">
        <f>AD31*100/P32</f>
        <v>141.1650954798163</v>
      </c>
      <c r="AF32" s="187">
        <f t="shared" si="6"/>
        <v>141.1650954798163</v>
      </c>
      <c r="AG32" s="240">
        <f>1663.1+365.88+41998.23+9239.61+8105.44+32771.55</f>
        <v>94143.81000000001</v>
      </c>
      <c r="AH32" s="232">
        <f t="shared" si="3"/>
        <v>13.255957476767112</v>
      </c>
    </row>
    <row r="33" spans="1:34" ht="18.75">
      <c r="A33" s="22"/>
      <c r="B33" s="13" t="s">
        <v>126</v>
      </c>
      <c r="C33" s="194"/>
      <c r="D33" s="153" t="s">
        <v>147</v>
      </c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157"/>
      <c r="P33" s="147" t="e">
        <f>P34+P35+#REF!+P36+P37</f>
        <v>#REF!</v>
      </c>
      <c r="Q33" s="158"/>
      <c r="R33" s="159"/>
      <c r="S33" s="159"/>
      <c r="T33" s="160"/>
      <c r="U33" s="160"/>
      <c r="V33" s="151"/>
      <c r="W33" s="151"/>
      <c r="X33" s="158"/>
      <c r="Y33" s="161"/>
      <c r="Z33" s="147" t="e">
        <f>Z34+Z35+#REF!+Z36+Z37</f>
        <v>#REF!</v>
      </c>
      <c r="AA33" s="146"/>
      <c r="AB33" s="148"/>
      <c r="AC33" s="159"/>
      <c r="AD33" s="147">
        <f>AD34+AD35+AD36+AD37</f>
        <v>26927959.392149</v>
      </c>
      <c r="AE33" s="147">
        <f>AE34+AE35+AE36+AE37</f>
        <v>216.20000000000005</v>
      </c>
      <c r="AF33" s="147">
        <f>AF34+AF35+AF36+AF37</f>
        <v>352.2485987620434</v>
      </c>
      <c r="AG33" s="147">
        <f>AG34+AG35+AG36+AG37</f>
        <v>6943488.92</v>
      </c>
      <c r="AH33" s="231">
        <f t="shared" si="3"/>
        <v>25.7854255455555</v>
      </c>
    </row>
    <row r="34" spans="1:34" ht="21" customHeight="1">
      <c r="A34" s="13" t="s">
        <v>29</v>
      </c>
      <c r="B34" s="13"/>
      <c r="C34" s="195" t="s">
        <v>54</v>
      </c>
      <c r="D34" s="65" t="s">
        <v>117</v>
      </c>
      <c r="E34" s="54"/>
      <c r="F34" s="54"/>
      <c r="G34" s="54"/>
      <c r="H34" s="54"/>
      <c r="I34" s="54"/>
      <c r="J34" s="54"/>
      <c r="K34" s="54"/>
      <c r="L34" s="54"/>
      <c r="M34" s="57">
        <v>5104000</v>
      </c>
      <c r="N34" s="104"/>
      <c r="O34" s="58">
        <f>P34+Q34</f>
        <v>8219357.757999999</v>
      </c>
      <c r="P34" s="57">
        <f>Q34+R34</f>
        <v>4109678.8789999997</v>
      </c>
      <c r="Q34" s="62">
        <f>5104000-994321.121</f>
        <v>4109678.8789999997</v>
      </c>
      <c r="R34" s="105"/>
      <c r="S34" s="105"/>
      <c r="T34" s="71">
        <f>307554.9+660163.29+188518.82+197590.73+136793.57+167192.17+227989.31+243188.57+455978.54</f>
        <v>2584969.9</v>
      </c>
      <c r="U34" s="71"/>
      <c r="V34" s="71">
        <v>0</v>
      </c>
      <c r="W34" s="71"/>
      <c r="X34" s="62">
        <f>307554.9+660163.29+188518.82+197590.73+136793.57+167192.17+227989.31+243188.57+455978.54+258387.82</f>
        <v>2843357.7199999997</v>
      </c>
      <c r="Y34" s="64">
        <f>X34/P34*100</f>
        <v>69.18685872342095</v>
      </c>
      <c r="Z34" s="98">
        <v>8044223</v>
      </c>
      <c r="AA34" s="62">
        <f>Z34/P34*100</f>
        <v>195.73848071451718</v>
      </c>
      <c r="AB34" s="142">
        <f>Z34-P34</f>
        <v>3934544.1210000003</v>
      </c>
      <c r="AC34" s="95" t="s">
        <v>80</v>
      </c>
      <c r="AD34" s="92">
        <f>P34+P34*8.1%</f>
        <v>4442562.868199</v>
      </c>
      <c r="AE34" s="187">
        <f t="shared" si="5"/>
        <v>108.10000000000002</v>
      </c>
      <c r="AF34" s="187">
        <f t="shared" si="6"/>
        <v>195.73848071451718</v>
      </c>
      <c r="AG34" s="240">
        <f>492263.85+114163.52+163090.75+179399.82</f>
        <v>948917.94</v>
      </c>
      <c r="AH34" s="232">
        <f t="shared" si="3"/>
        <v>21.35969637689535</v>
      </c>
    </row>
    <row r="35" spans="1:34" ht="21" customHeight="1">
      <c r="A35" s="13" t="s">
        <v>30</v>
      </c>
      <c r="B35" s="13"/>
      <c r="C35" s="195" t="s">
        <v>54</v>
      </c>
      <c r="D35" s="52" t="s">
        <v>96</v>
      </c>
      <c r="E35" s="54"/>
      <c r="F35" s="54"/>
      <c r="G35" s="54"/>
      <c r="H35" s="54"/>
      <c r="I35" s="54"/>
      <c r="J35" s="54"/>
      <c r="K35" s="54"/>
      <c r="L35" s="54"/>
      <c r="M35" s="57">
        <v>15799500</v>
      </c>
      <c r="N35" s="104"/>
      <c r="O35" s="58">
        <f>P35+Q35</f>
        <v>38043075.9</v>
      </c>
      <c r="P35" s="57">
        <f>Q35+R35</f>
        <v>19021537.95</v>
      </c>
      <c r="Q35" s="62">
        <f>15542500+3519037.95-40000</f>
        <v>19021537.95</v>
      </c>
      <c r="R35" s="105"/>
      <c r="S35" s="105"/>
      <c r="T35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5" s="71"/>
      <c r="V35" s="71">
        <f>41814854.5-3647031.42</f>
        <v>38167823.08</v>
      </c>
      <c r="W35" s="71"/>
      <c r="X35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5" s="64">
        <f>X35/P35*100</f>
        <v>83.42234409074163</v>
      </c>
      <c r="Z35" s="98">
        <f>13776827+8308804.5+7685000</f>
        <v>29770631.5</v>
      </c>
      <c r="AA35" s="62">
        <f>Z35/P35*100</f>
        <v>156.51011804752625</v>
      </c>
      <c r="AB35" s="142">
        <f>Z35-P35</f>
        <v>10749093.55</v>
      </c>
      <c r="AC35" s="107"/>
      <c r="AD35" s="92">
        <f>P35+P35*8.1%</f>
        <v>20562282.52395</v>
      </c>
      <c r="AE35" s="187">
        <f t="shared" si="5"/>
        <v>108.10000000000001</v>
      </c>
      <c r="AF35" s="187">
        <f t="shared" si="6"/>
        <v>156.51011804752622</v>
      </c>
      <c r="AG35" s="240">
        <f>500760.42+434385+1621704+492534.67+850503.69+313343.46+279396.43+248352.38+447633.52+805957.41</f>
        <v>5994570.98</v>
      </c>
      <c r="AH35" s="232">
        <f t="shared" si="3"/>
        <v>29.153237112746606</v>
      </c>
    </row>
    <row r="36" spans="1:34" ht="16.5" customHeight="1">
      <c r="A36" s="13"/>
      <c r="B36" s="13"/>
      <c r="C36" s="195"/>
      <c r="D36" s="52" t="s">
        <v>97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400000</v>
      </c>
      <c r="AA36" s="20"/>
      <c r="AB36" s="43"/>
      <c r="AC36" s="24"/>
      <c r="AD36" s="92">
        <f>Z36-200000</f>
        <v>200000</v>
      </c>
      <c r="AE36" s="187"/>
      <c r="AF36" s="187"/>
      <c r="AG36" s="240"/>
      <c r="AH36" s="232">
        <f t="shared" si="3"/>
        <v>0</v>
      </c>
    </row>
    <row r="37" spans="1:34" ht="15.75" customHeight="1">
      <c r="A37" s="13"/>
      <c r="B37" s="13"/>
      <c r="C37" s="195"/>
      <c r="D37" s="52" t="s">
        <v>98</v>
      </c>
      <c r="E37" s="53"/>
      <c r="F37" s="53"/>
      <c r="G37" s="53"/>
      <c r="H37" s="53"/>
      <c r="I37" s="53"/>
      <c r="J37" s="53"/>
      <c r="K37" s="53"/>
      <c r="L37" s="53"/>
      <c r="M37" s="66"/>
      <c r="N37" s="63"/>
      <c r="O37" s="40"/>
      <c r="P37" s="57">
        <v>0</v>
      </c>
      <c r="Q37" s="62"/>
      <c r="R37" s="105"/>
      <c r="S37" s="105"/>
      <c r="T37" s="71"/>
      <c r="U37" s="71"/>
      <c r="V37" s="71"/>
      <c r="W37" s="71"/>
      <c r="X37" s="62"/>
      <c r="Y37" s="64"/>
      <c r="Z37" s="98">
        <v>1723114</v>
      </c>
      <c r="AA37" s="20"/>
      <c r="AB37" s="43"/>
      <c r="AC37" s="24"/>
      <c r="AD37" s="92">
        <f>Z37</f>
        <v>1723114</v>
      </c>
      <c r="AE37" s="187"/>
      <c r="AF37" s="187"/>
      <c r="AG37" s="233"/>
      <c r="AH37" s="232">
        <f t="shared" si="3"/>
        <v>0</v>
      </c>
    </row>
    <row r="38" spans="1:34" ht="22.5" customHeight="1">
      <c r="A38" s="13" t="s">
        <v>36</v>
      </c>
      <c r="B38" s="13" t="s">
        <v>127</v>
      </c>
      <c r="C38" s="194" t="s">
        <v>55</v>
      </c>
      <c r="D38" s="144" t="s">
        <v>106</v>
      </c>
      <c r="E38" s="154"/>
      <c r="F38" s="154"/>
      <c r="G38" s="154"/>
      <c r="H38" s="154"/>
      <c r="I38" s="154"/>
      <c r="J38" s="154"/>
      <c r="K38" s="154"/>
      <c r="L38" s="154"/>
      <c r="M38" s="147">
        <v>0</v>
      </c>
      <c r="N38" s="156"/>
      <c r="O38" s="152">
        <f>P38+Q38</f>
        <v>514000</v>
      </c>
      <c r="P38" s="147">
        <f>Q38+R38</f>
        <v>257000</v>
      </c>
      <c r="Q38" s="146">
        <v>257000</v>
      </c>
      <c r="R38" s="162"/>
      <c r="S38" s="162"/>
      <c r="T38" s="151">
        <f>23700.62+50875.25+50875.25+50775.25</f>
        <v>176226.37</v>
      </c>
      <c r="U38" s="151"/>
      <c r="V38" s="151">
        <f>P38*(0.9)</f>
        <v>231300</v>
      </c>
      <c r="W38" s="151"/>
      <c r="X38" s="146">
        <f>23700.62+50875.25+50875.25+50775.25</f>
        <v>176226.37</v>
      </c>
      <c r="Y38" s="171">
        <f>X38/P38*100</f>
        <v>68.57057198443579</v>
      </c>
      <c r="Z38" s="150">
        <v>346347.28</v>
      </c>
      <c r="AA38" s="146">
        <f aca="true" t="shared" si="13" ref="AA38:AA45">Z38/P38*100</f>
        <v>134.7654785992218</v>
      </c>
      <c r="AB38" s="148">
        <f aca="true" t="shared" si="14" ref="AB38:AB66">Z38-P38</f>
        <v>89347.28000000003</v>
      </c>
      <c r="AC38" s="149"/>
      <c r="AD38" s="150">
        <f>P38+P38*8.1%</f>
        <v>277817</v>
      </c>
      <c r="AE38" s="150">
        <f>Q38+Q38*8.1%</f>
        <v>277817</v>
      </c>
      <c r="AF38" s="150">
        <f>R38+R38*8.1%</f>
        <v>0</v>
      </c>
      <c r="AG38" s="150">
        <f>S38+S38*8.1%</f>
        <v>0</v>
      </c>
      <c r="AH38" s="231">
        <f t="shared" si="3"/>
        <v>0</v>
      </c>
    </row>
    <row r="39" spans="1:34" ht="16.5" customHeight="1">
      <c r="A39" s="13" t="s">
        <v>31</v>
      </c>
      <c r="B39" s="13" t="s">
        <v>128</v>
      </c>
      <c r="C39" s="194" t="s">
        <v>92</v>
      </c>
      <c r="D39" s="144" t="s">
        <v>60</v>
      </c>
      <c r="E39" s="154"/>
      <c r="F39" s="154"/>
      <c r="G39" s="154"/>
      <c r="H39" s="154"/>
      <c r="I39" s="154"/>
      <c r="J39" s="154"/>
      <c r="K39" s="154"/>
      <c r="L39" s="154"/>
      <c r="M39" s="146">
        <f>L39</f>
        <v>0</v>
      </c>
      <c r="N39" s="156"/>
      <c r="O39" s="152">
        <f>O40</f>
        <v>1930883.46</v>
      </c>
      <c r="P39" s="147">
        <f>P40</f>
        <v>1930883.46</v>
      </c>
      <c r="Q39" s="146">
        <f>P39</f>
        <v>1930883.46</v>
      </c>
      <c r="R39" s="165"/>
      <c r="S39" s="165"/>
      <c r="T39" s="151">
        <f>T40</f>
        <v>859642.65</v>
      </c>
      <c r="U39" s="151"/>
      <c r="V39" s="151">
        <f>P39*(0.9)</f>
        <v>1737795.114</v>
      </c>
      <c r="W39" s="151"/>
      <c r="X39" s="146">
        <f>X40</f>
        <v>859642.65</v>
      </c>
      <c r="Y39" s="171">
        <f>X39/P39*100</f>
        <v>44.52069054442053</v>
      </c>
      <c r="Z39" s="150">
        <f>Z40</f>
        <v>17397438</v>
      </c>
      <c r="AA39" s="146">
        <f t="shared" si="13"/>
        <v>901.0092198935714</v>
      </c>
      <c r="AB39" s="148">
        <f t="shared" si="14"/>
        <v>15466554.54</v>
      </c>
      <c r="AC39" s="165"/>
      <c r="AD39" s="150">
        <f>AD40</f>
        <v>7023700</v>
      </c>
      <c r="AE39" s="150">
        <f>AE40</f>
        <v>7023700</v>
      </c>
      <c r="AF39" s="150">
        <f>AF40</f>
        <v>7023700</v>
      </c>
      <c r="AG39" s="150">
        <f>AG40</f>
        <v>956537.5900000001</v>
      </c>
      <c r="AH39" s="231">
        <f t="shared" si="3"/>
        <v>13.618713640958472</v>
      </c>
    </row>
    <row r="40" spans="1:37" ht="35.25" customHeight="1">
      <c r="A40" s="13"/>
      <c r="B40" s="13"/>
      <c r="C40" s="195"/>
      <c r="D40" s="101" t="s">
        <v>139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102">
        <f>P40</f>
        <v>1930883.46</v>
      </c>
      <c r="P40" s="57">
        <v>1930883.46</v>
      </c>
      <c r="Q40" s="62">
        <v>1589311.46</v>
      </c>
      <c r="R40" s="184"/>
      <c r="S40" s="184"/>
      <c r="T40" s="106">
        <f>201636.21+106959.16+388332+795.26+161920.02</f>
        <v>859642.65</v>
      </c>
      <c r="U40" s="106"/>
      <c r="V40" s="106">
        <f>V41+V42</f>
        <v>17397438</v>
      </c>
      <c r="W40" s="106">
        <v>10385400</v>
      </c>
      <c r="X40" s="62">
        <f>201636.21+106959.16+388332+795.26+161920.02</f>
        <v>859642.65</v>
      </c>
      <c r="Y40" s="64">
        <f>X40/P40*100</f>
        <v>44.52069054442053</v>
      </c>
      <c r="Z40" s="98">
        <v>17397438</v>
      </c>
      <c r="AA40" s="93">
        <f t="shared" si="13"/>
        <v>901.0092198935714</v>
      </c>
      <c r="AB40" s="94">
        <f t="shared" si="14"/>
        <v>15466554.54</v>
      </c>
      <c r="AC40" s="107" t="s">
        <v>77</v>
      </c>
      <c r="AD40" s="234">
        <v>7023700</v>
      </c>
      <c r="AE40" s="234">
        <v>7023700</v>
      </c>
      <c r="AF40" s="234">
        <v>7023700</v>
      </c>
      <c r="AG40" s="234">
        <f>158800+321890.43+189995.14+45500+240352.02</f>
        <v>956537.5900000001</v>
      </c>
      <c r="AH40" s="232">
        <f t="shared" si="3"/>
        <v>13.618713640958472</v>
      </c>
      <c r="AI40" s="198"/>
      <c r="AJ40" s="198"/>
      <c r="AK40" s="198"/>
    </row>
    <row r="41" spans="1:34" ht="18.75" hidden="1">
      <c r="A41" s="13"/>
      <c r="B41" s="13"/>
      <c r="C41" s="195"/>
      <c r="D41" s="70" t="s">
        <v>66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1145765.29</v>
      </c>
      <c r="Q41" s="62"/>
      <c r="R41" s="67"/>
      <c r="S41" s="67"/>
      <c r="T41" s="35"/>
      <c r="U41" s="35"/>
      <c r="V41" s="71">
        <v>12523990</v>
      </c>
      <c r="W41" s="71"/>
      <c r="X41" s="69"/>
      <c r="Y41" s="103"/>
      <c r="Z41" s="82">
        <v>12523990</v>
      </c>
      <c r="AA41" s="20">
        <f t="shared" si="13"/>
        <v>1093.0676735721327</v>
      </c>
      <c r="AB41" s="43">
        <f t="shared" si="14"/>
        <v>11378224.71</v>
      </c>
      <c r="AC41" s="24"/>
      <c r="AD41" s="89"/>
      <c r="AE41" s="187">
        <f>AD41*100/P41</f>
        <v>0</v>
      </c>
      <c r="AF41" s="187">
        <f>Z41*100/P41</f>
        <v>1093.0676735721327</v>
      </c>
      <c r="AG41" s="228"/>
      <c r="AH41" s="229" t="e">
        <f t="shared" si="3"/>
        <v>#DIV/0!</v>
      </c>
    </row>
    <row r="42" spans="1:34" ht="18.75" hidden="1">
      <c r="A42" s="13"/>
      <c r="B42" s="13"/>
      <c r="C42" s="195"/>
      <c r="D42" s="70" t="s">
        <v>67</v>
      </c>
      <c r="E42" s="53"/>
      <c r="F42" s="53"/>
      <c r="G42" s="53"/>
      <c r="H42" s="53"/>
      <c r="I42" s="53"/>
      <c r="J42" s="53"/>
      <c r="K42" s="53"/>
      <c r="L42" s="53"/>
      <c r="M42" s="68">
        <v>0</v>
      </c>
      <c r="N42" s="63"/>
      <c r="O42" s="58"/>
      <c r="P42" s="87">
        <v>443546.17</v>
      </c>
      <c r="Q42" s="62"/>
      <c r="R42" s="67"/>
      <c r="S42" s="67"/>
      <c r="T42" s="35"/>
      <c r="U42" s="35"/>
      <c r="V42" s="71">
        <v>4873448</v>
      </c>
      <c r="W42" s="71"/>
      <c r="X42" s="69"/>
      <c r="Y42" s="103"/>
      <c r="Z42" s="82">
        <v>4873448</v>
      </c>
      <c r="AA42" s="20">
        <f t="shared" si="13"/>
        <v>1098.746495770666</v>
      </c>
      <c r="AB42" s="43">
        <f t="shared" si="14"/>
        <v>4429901.83</v>
      </c>
      <c r="AC42" s="24"/>
      <c r="AD42" s="89"/>
      <c r="AE42" s="187">
        <f>AD42*100/P42</f>
        <v>0</v>
      </c>
      <c r="AF42" s="187">
        <f>Z42*100/P42</f>
        <v>1098.746495770666</v>
      </c>
      <c r="AG42" s="228"/>
      <c r="AH42" s="229" t="e">
        <f t="shared" si="3"/>
        <v>#DIV/0!</v>
      </c>
    </row>
    <row r="43" spans="1:34" ht="18.75" hidden="1">
      <c r="A43" s="13" t="s">
        <v>32</v>
      </c>
      <c r="B43" s="13"/>
      <c r="C43" s="196"/>
      <c r="D43" s="117" t="s">
        <v>1</v>
      </c>
      <c r="E43" s="118">
        <f>20554.4+1254+42.4</f>
        <v>21850.800000000003</v>
      </c>
      <c r="F43" s="118">
        <f>20118.2+1254+42.4</f>
        <v>21414.600000000002</v>
      </c>
      <c r="G43" s="118">
        <f>166.5+18.4</f>
        <v>184.9</v>
      </c>
      <c r="H43" s="118">
        <f>19951.7+1254+24</f>
        <v>21229.7</v>
      </c>
      <c r="I43" s="119">
        <f>25447.6+198</f>
        <v>25645.6</v>
      </c>
      <c r="J43" s="119">
        <v>10120.4</v>
      </c>
      <c r="K43" s="118">
        <v>21229.7</v>
      </c>
      <c r="L43" s="119"/>
      <c r="M43" s="120">
        <f>M44+M45</f>
        <v>25052300</v>
      </c>
      <c r="N43" s="119"/>
      <c r="O43" s="121">
        <f>P43+Q43</f>
        <v>18162154.96</v>
      </c>
      <c r="P43" s="122"/>
      <c r="Q43" s="120">
        <f>Q44+Q45</f>
        <v>18162154.96</v>
      </c>
      <c r="R43" s="123"/>
      <c r="S43" s="123"/>
      <c r="T43" s="124">
        <f>T44+T45</f>
        <v>18162151.85</v>
      </c>
      <c r="U43" s="124"/>
      <c r="V43" s="124">
        <v>0</v>
      </c>
      <c r="W43" s="124"/>
      <c r="X43" s="120">
        <f>X44+X45</f>
        <v>18162151.85</v>
      </c>
      <c r="Y43" s="201" t="e">
        <f>X43/P43*100</f>
        <v>#DIV/0!</v>
      </c>
      <c r="Z43" s="122">
        <f>Z44+Z45</f>
        <v>0</v>
      </c>
      <c r="AA43" s="120" t="e">
        <f t="shared" si="13"/>
        <v>#DIV/0!</v>
      </c>
      <c r="AB43" s="125">
        <f t="shared" si="14"/>
        <v>0</v>
      </c>
      <c r="AC43" s="123"/>
      <c r="AD43" s="126"/>
      <c r="AE43" s="189" t="e">
        <f>AD43*100/P43</f>
        <v>#DIV/0!</v>
      </c>
      <c r="AF43" s="189" t="e">
        <f>Z43*100/P43</f>
        <v>#DIV/0!</v>
      </c>
      <c r="AG43" s="228"/>
      <c r="AH43" s="229" t="e">
        <f t="shared" si="3"/>
        <v>#DIV/0!</v>
      </c>
    </row>
    <row r="44" spans="1:36" ht="56.25" hidden="1">
      <c r="A44" s="22"/>
      <c r="B44" s="202"/>
      <c r="C44" s="273" t="s">
        <v>56</v>
      </c>
      <c r="D44" s="127" t="s">
        <v>0</v>
      </c>
      <c r="E44" s="128"/>
      <c r="F44" s="128"/>
      <c r="G44" s="128"/>
      <c r="H44" s="128"/>
      <c r="I44" s="129"/>
      <c r="J44" s="129"/>
      <c r="K44" s="129"/>
      <c r="L44" s="130"/>
      <c r="M44" s="131">
        <v>7232100</v>
      </c>
      <c r="N44" s="132"/>
      <c r="O44" s="133">
        <f>P44+Q44</f>
        <v>13707388.44</v>
      </c>
      <c r="P44" s="134">
        <f>Q44+R44</f>
        <v>6853694.22</v>
      </c>
      <c r="Q44" s="135">
        <f>7232100-378405.78</f>
        <v>6853694.22</v>
      </c>
      <c r="R44" s="123"/>
      <c r="S44" s="123"/>
      <c r="T44" s="136">
        <f>1341065+264830+1439254.25+119395.75+507870+59340+35936.5+335196.18+472850.38+220509.52+38684.18+107682.7+71415+175089.2+268474.5+377603.92+171362.7+194439.28+227897.54+71415+353382.62</f>
        <v>6853694.220000001</v>
      </c>
      <c r="U44" s="136"/>
      <c r="V44" s="124">
        <v>0</v>
      </c>
      <c r="W44" s="124"/>
      <c r="X44" s="135">
        <f>1341065+264830+1439254.25+119395.75+507870+59340+35936.5+335196.18+472850.38+220509.52+38684.18+107682.7+71415+175089.2+268474.5+377603.92+171362.7+194439.28+227897.54+71415+353382.62</f>
        <v>6853694.220000001</v>
      </c>
      <c r="Y44" s="137">
        <f>X44/P44*100</f>
        <v>100.00000000000003</v>
      </c>
      <c r="Z44" s="138">
        <v>0</v>
      </c>
      <c r="AA44" s="120">
        <f t="shared" si="13"/>
        <v>0</v>
      </c>
      <c r="AB44" s="125">
        <f t="shared" si="14"/>
        <v>-6853694.22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  <c r="AJ44" s="14"/>
    </row>
    <row r="45" spans="1:34" ht="56.25" hidden="1">
      <c r="A45" s="22"/>
      <c r="B45" s="204"/>
      <c r="C45" s="274"/>
      <c r="D45" s="139" t="s">
        <v>43</v>
      </c>
      <c r="E45" s="128"/>
      <c r="F45" s="128"/>
      <c r="G45" s="128"/>
      <c r="H45" s="128"/>
      <c r="I45" s="129"/>
      <c r="J45" s="129"/>
      <c r="K45" s="129"/>
      <c r="L45" s="130"/>
      <c r="M45" s="131">
        <v>17820200</v>
      </c>
      <c r="N45" s="132"/>
      <c r="O45" s="133">
        <f>P45+Q45</f>
        <v>22616921.48</v>
      </c>
      <c r="P45" s="134">
        <f>Q45+R45</f>
        <v>11308460.74</v>
      </c>
      <c r="Q45" s="135">
        <f>17820200-6511739.26</f>
        <v>11308460.74</v>
      </c>
      <c r="R45" s="123"/>
      <c r="S45" s="123"/>
      <c r="T45" s="136">
        <f>485919.56+3050150.33+4015340.79+1228787.45+1461675.45+214759.4+851824.65</f>
        <v>11308457.629999999</v>
      </c>
      <c r="U45" s="136"/>
      <c r="V45" s="124">
        <v>0</v>
      </c>
      <c r="W45" s="124"/>
      <c r="X45" s="135">
        <f>485919.56+3050150.33+4015340.79+1228787.45+1461675.45+214759.4+851824.65</f>
        <v>11308457.629999999</v>
      </c>
      <c r="Y45" s="137">
        <f>X45/P45*100</f>
        <v>99.99997249846754</v>
      </c>
      <c r="Z45" s="138">
        <v>0</v>
      </c>
      <c r="AA45" s="120">
        <f t="shared" si="13"/>
        <v>0</v>
      </c>
      <c r="AB45" s="125">
        <f t="shared" si="14"/>
        <v>-11308460.74</v>
      </c>
      <c r="AC45" s="123"/>
      <c r="AD45" s="126"/>
      <c r="AE45" s="189">
        <f>AD45*100/P45</f>
        <v>0</v>
      </c>
      <c r="AF45" s="189">
        <f>Z45*100/P45</f>
        <v>0</v>
      </c>
      <c r="AG45" s="228"/>
      <c r="AH45" s="229" t="e">
        <f t="shared" si="3"/>
        <v>#DIV/0!</v>
      </c>
    </row>
    <row r="46" spans="1:34" ht="18.75">
      <c r="A46" s="22"/>
      <c r="B46" s="13" t="s">
        <v>129</v>
      </c>
      <c r="C46" s="194" t="s">
        <v>93</v>
      </c>
      <c r="D46" s="144" t="s">
        <v>94</v>
      </c>
      <c r="E46" s="145"/>
      <c r="F46" s="145"/>
      <c r="G46" s="145"/>
      <c r="H46" s="145"/>
      <c r="I46" s="145"/>
      <c r="J46" s="145"/>
      <c r="K46" s="145"/>
      <c r="L46" s="145"/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63"/>
      <c r="V46" s="151">
        <v>212856.4</v>
      </c>
      <c r="W46" s="151"/>
      <c r="X46" s="147">
        <v>0</v>
      </c>
      <c r="Y46" s="147">
        <v>0</v>
      </c>
      <c r="Z46" s="150">
        <f>Z47+Z48</f>
        <v>212856.4</v>
      </c>
      <c r="AA46" s="164"/>
      <c r="AB46" s="148">
        <f t="shared" si="14"/>
        <v>212856.4</v>
      </c>
      <c r="AC46" s="165"/>
      <c r="AD46" s="150">
        <f>AD47+AD48</f>
        <v>212856.4</v>
      </c>
      <c r="AE46" s="150">
        <f>AE47+AE48</f>
        <v>212856.4</v>
      </c>
      <c r="AF46" s="150">
        <f>AF47+AF48</f>
        <v>212856.4</v>
      </c>
      <c r="AG46" s="150">
        <f>AG47+AG48</f>
        <v>0</v>
      </c>
      <c r="AH46" s="231">
        <f t="shared" si="3"/>
        <v>0</v>
      </c>
    </row>
    <row r="47" spans="1:34" ht="24.75" customHeight="1">
      <c r="A47" s="22"/>
      <c r="B47" s="22"/>
      <c r="C47" s="195"/>
      <c r="D47" s="52" t="s">
        <v>99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100000</v>
      </c>
      <c r="AA47" s="20" t="e">
        <f aca="true" t="shared" si="15" ref="AA47:AA60">Z47/P47*100</f>
        <v>#DIV/0!</v>
      </c>
      <c r="AB47" s="43">
        <f t="shared" si="14"/>
        <v>100000</v>
      </c>
      <c r="AC47" s="90"/>
      <c r="AD47" s="98">
        <v>100000</v>
      </c>
      <c r="AE47" s="98">
        <v>100000</v>
      </c>
      <c r="AF47" s="98">
        <v>100000</v>
      </c>
      <c r="AG47" s="98"/>
      <c r="AH47" s="232">
        <f t="shared" si="3"/>
        <v>0</v>
      </c>
    </row>
    <row r="48" spans="1:34" ht="19.5" customHeight="1">
      <c r="A48" s="22"/>
      <c r="B48" s="22"/>
      <c r="C48" s="195"/>
      <c r="D48" s="52" t="s">
        <v>118</v>
      </c>
      <c r="E48" s="61"/>
      <c r="F48" s="61"/>
      <c r="G48" s="61"/>
      <c r="H48" s="61"/>
      <c r="I48" s="61"/>
      <c r="J48" s="61"/>
      <c r="K48" s="61"/>
      <c r="L48" s="61"/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8"/>
      <c r="V48" s="35">
        <f>P48*(0.9)</f>
        <v>0</v>
      </c>
      <c r="W48" s="35"/>
      <c r="X48" s="57">
        <v>0</v>
      </c>
      <c r="Y48" s="57">
        <v>0</v>
      </c>
      <c r="Z48" s="98">
        <v>112856.4</v>
      </c>
      <c r="AA48" s="20" t="e">
        <f t="shared" si="15"/>
        <v>#DIV/0!</v>
      </c>
      <c r="AB48" s="43">
        <f t="shared" si="14"/>
        <v>112856.4</v>
      </c>
      <c r="AC48" s="90"/>
      <c r="AD48" s="98">
        <v>112856.4</v>
      </c>
      <c r="AE48" s="98">
        <v>112856.4</v>
      </c>
      <c r="AF48" s="98">
        <v>112856.4</v>
      </c>
      <c r="AG48" s="98"/>
      <c r="AH48" s="232">
        <f t="shared" si="3"/>
        <v>0</v>
      </c>
    </row>
    <row r="49" spans="1:34" ht="22.5" customHeight="1">
      <c r="A49" s="13" t="s">
        <v>33</v>
      </c>
      <c r="B49" s="13" t="s">
        <v>142</v>
      </c>
      <c r="C49" s="194"/>
      <c r="D49" s="167" t="s">
        <v>20</v>
      </c>
      <c r="E49" s="168"/>
      <c r="F49" s="168"/>
      <c r="G49" s="168"/>
      <c r="H49" s="168"/>
      <c r="I49" s="168"/>
      <c r="J49" s="168"/>
      <c r="K49" s="168"/>
      <c r="L49" s="168"/>
      <c r="M49" s="169">
        <f>M51+M50</f>
        <v>325000</v>
      </c>
      <c r="N49" s="168"/>
      <c r="O49" s="152">
        <f aca="true" t="shared" si="16" ref="O49:O60">P49+Q49</f>
        <v>2067000</v>
      </c>
      <c r="P49" s="147">
        <f aca="true" t="shared" si="17" ref="P49:P60">Q49+R49</f>
        <v>1033500</v>
      </c>
      <c r="Q49" s="179">
        <f>Q51+Q50</f>
        <v>1033500</v>
      </c>
      <c r="R49" s="180"/>
      <c r="S49" s="180"/>
      <c r="T49" s="181">
        <f>T51+T50</f>
        <v>669069.4899999999</v>
      </c>
      <c r="U49" s="181"/>
      <c r="V49" s="179">
        <f>V51+V50</f>
        <v>1189112</v>
      </c>
      <c r="W49" s="182"/>
      <c r="X49" s="179">
        <f>X51+X50</f>
        <v>669069.4899999999</v>
      </c>
      <c r="Y49" s="175">
        <f>X49/P49*100</f>
        <v>64.73821867440735</v>
      </c>
      <c r="Z49" s="170">
        <f>Z51+Z50</f>
        <v>1189112</v>
      </c>
      <c r="AA49" s="93">
        <f t="shared" si="15"/>
        <v>115.05679729075955</v>
      </c>
      <c r="AB49" s="183">
        <f t="shared" si="14"/>
        <v>155612</v>
      </c>
      <c r="AC49" s="245" t="s">
        <v>78</v>
      </c>
      <c r="AD49" s="166">
        <v>1189112</v>
      </c>
      <c r="AE49" s="166">
        <v>1189112</v>
      </c>
      <c r="AF49" s="166">
        <v>1189112</v>
      </c>
      <c r="AG49" s="166">
        <f>AG50+AG51</f>
        <v>0</v>
      </c>
      <c r="AH49" s="231">
        <f t="shared" si="3"/>
        <v>0</v>
      </c>
    </row>
    <row r="50" spans="1:34" ht="23.25" customHeight="1">
      <c r="A50" s="22"/>
      <c r="B50" s="22"/>
      <c r="C50" s="195" t="s">
        <v>57</v>
      </c>
      <c r="D50" s="52" t="s">
        <v>107</v>
      </c>
      <c r="E50" s="73"/>
      <c r="F50" s="73"/>
      <c r="G50" s="73"/>
      <c r="H50" s="73"/>
      <c r="I50" s="73"/>
      <c r="J50" s="73"/>
      <c r="K50" s="73"/>
      <c r="L50" s="73"/>
      <c r="M50" s="74">
        <v>225000</v>
      </c>
      <c r="N50" s="73"/>
      <c r="O50" s="58">
        <f t="shared" si="16"/>
        <v>1867000</v>
      </c>
      <c r="P50" s="57">
        <f t="shared" si="17"/>
        <v>933500</v>
      </c>
      <c r="Q50" s="75">
        <f>225000+378500+30000+300000</f>
        <v>933500</v>
      </c>
      <c r="R50" s="184"/>
      <c r="S50" s="184"/>
      <c r="T50" s="76">
        <f>12823.97+314438.51+1053.06+121644.29+64211.93+20568.88+13082.39+4993.7+64170</f>
        <v>616986.7299999999</v>
      </c>
      <c r="U50" s="76"/>
      <c r="V50" s="185">
        <v>1089113.5</v>
      </c>
      <c r="W50" s="106"/>
      <c r="X50" s="75">
        <f>12823.97+314438.51+1053.06+121644.29+64211.93+20568.88+13082.39+4993.7+64170</f>
        <v>616986.7299999999</v>
      </c>
      <c r="Y50" s="64">
        <f>X50/P50*100</f>
        <v>66.09391858596678</v>
      </c>
      <c r="Z50" s="98">
        <v>1089113.5</v>
      </c>
      <c r="AA50" s="93">
        <f t="shared" si="15"/>
        <v>116.66989823245848</v>
      </c>
      <c r="AB50" s="94">
        <f t="shared" si="14"/>
        <v>155613.5</v>
      </c>
      <c r="AC50" s="246"/>
      <c r="AD50" s="72">
        <f aca="true" t="shared" si="18" ref="AD50:AF51">Z50</f>
        <v>1089113.5</v>
      </c>
      <c r="AE50" s="72">
        <f t="shared" si="18"/>
        <v>116.66989823245848</v>
      </c>
      <c r="AF50" s="72">
        <f t="shared" si="18"/>
        <v>155613.5</v>
      </c>
      <c r="AG50" s="72"/>
      <c r="AH50" s="232">
        <f t="shared" si="3"/>
        <v>0</v>
      </c>
    </row>
    <row r="51" spans="1:34" ht="27" customHeight="1">
      <c r="A51" s="22"/>
      <c r="B51" s="22"/>
      <c r="C51" s="195" t="s">
        <v>57</v>
      </c>
      <c r="D51" s="52" t="s">
        <v>146</v>
      </c>
      <c r="E51" s="73"/>
      <c r="F51" s="73"/>
      <c r="G51" s="73"/>
      <c r="H51" s="73"/>
      <c r="I51" s="73"/>
      <c r="J51" s="73"/>
      <c r="K51" s="73"/>
      <c r="L51" s="73"/>
      <c r="M51" s="74">
        <v>100000</v>
      </c>
      <c r="N51" s="73"/>
      <c r="O51" s="58">
        <f t="shared" si="16"/>
        <v>200000</v>
      </c>
      <c r="P51" s="57">
        <f t="shared" si="17"/>
        <v>100000</v>
      </c>
      <c r="Q51" s="75">
        <v>100000</v>
      </c>
      <c r="R51" s="184"/>
      <c r="S51" s="184"/>
      <c r="T51" s="76">
        <f>385.27+6084.22+13129.31+12261.98+8270.72+11951.26</f>
        <v>52082.76</v>
      </c>
      <c r="U51" s="76"/>
      <c r="V51" s="185">
        <v>99998.5</v>
      </c>
      <c r="W51" s="106"/>
      <c r="X51" s="75">
        <f>385.27+6084.22+13129.31+12261.98+8270.72+11951.26</f>
        <v>52082.76</v>
      </c>
      <c r="Y51" s="64">
        <f>X51/P51*100</f>
        <v>52.08276000000001</v>
      </c>
      <c r="Z51" s="98">
        <v>99998.5</v>
      </c>
      <c r="AA51" s="93">
        <f t="shared" si="15"/>
        <v>99.9985</v>
      </c>
      <c r="AB51" s="94">
        <f t="shared" si="14"/>
        <v>-1.5</v>
      </c>
      <c r="AC51" s="246"/>
      <c r="AD51" s="72">
        <f t="shared" si="18"/>
        <v>99998.5</v>
      </c>
      <c r="AE51" s="72">
        <f t="shared" si="18"/>
        <v>99.9985</v>
      </c>
      <c r="AF51" s="72">
        <f t="shared" si="18"/>
        <v>-1.5</v>
      </c>
      <c r="AG51" s="72"/>
      <c r="AH51" s="232">
        <f t="shared" si="3"/>
        <v>0</v>
      </c>
    </row>
    <row r="52" spans="1:34" ht="27.75" customHeight="1">
      <c r="A52" s="13" t="s">
        <v>34</v>
      </c>
      <c r="B52" s="13" t="s">
        <v>130</v>
      </c>
      <c r="C52" s="194" t="s">
        <v>57</v>
      </c>
      <c r="D52" s="144" t="s">
        <v>133</v>
      </c>
      <c r="E52" s="145" t="e">
        <f>#REF!+#REF!</f>
        <v>#REF!</v>
      </c>
      <c r="F52" s="145" t="e">
        <f>#REF!+#REF!</f>
        <v>#REF!</v>
      </c>
      <c r="G52" s="145" t="e">
        <f>#REF!+#REF!</f>
        <v>#REF!</v>
      </c>
      <c r="H52" s="145" t="e">
        <f>#REF!+#REF!</f>
        <v>#REF!</v>
      </c>
      <c r="I52" s="145" t="e">
        <f>#REF!+#REF!</f>
        <v>#REF!</v>
      </c>
      <c r="J52" s="145"/>
      <c r="K52" s="145">
        <v>3916.0000000000005</v>
      </c>
      <c r="L52" s="145"/>
      <c r="M52" s="147">
        <v>59112.8</v>
      </c>
      <c r="N52" s="145"/>
      <c r="O52" s="152">
        <f t="shared" si="16"/>
        <v>118225.6</v>
      </c>
      <c r="P52" s="147">
        <f t="shared" si="17"/>
        <v>59112.8</v>
      </c>
      <c r="Q52" s="146">
        <f>59136-23.2</f>
        <v>59112.8</v>
      </c>
      <c r="R52" s="165"/>
      <c r="S52" s="165"/>
      <c r="T52" s="151">
        <v>15318.9</v>
      </c>
      <c r="U52" s="151"/>
      <c r="V52" s="151">
        <v>208100</v>
      </c>
      <c r="W52" s="151"/>
      <c r="X52" s="146">
        <v>15318.9</v>
      </c>
      <c r="Y52" s="171">
        <f>X52/P52*100</f>
        <v>25.91469191105818</v>
      </c>
      <c r="Z52" s="150">
        <v>208100</v>
      </c>
      <c r="AA52" s="146">
        <f t="shared" si="15"/>
        <v>352.03881392862456</v>
      </c>
      <c r="AB52" s="148">
        <f t="shared" si="14"/>
        <v>148987.2</v>
      </c>
      <c r="AC52" s="165" t="s">
        <v>79</v>
      </c>
      <c r="AD52" s="150">
        <f>P52+11241.06+5698.67</f>
        <v>76052.53</v>
      </c>
      <c r="AE52" s="150">
        <f>Q52+11241.06+5698.67</f>
        <v>76052.53</v>
      </c>
      <c r="AF52" s="150">
        <f>R52+11241.06+5698.67</f>
        <v>16939.73</v>
      </c>
      <c r="AG52" s="150">
        <v>32017.68</v>
      </c>
      <c r="AH52" s="231">
        <f t="shared" si="3"/>
        <v>42.09942785598323</v>
      </c>
    </row>
    <row r="53" spans="1:34" ht="25.5" customHeight="1">
      <c r="A53" s="13" t="s">
        <v>61</v>
      </c>
      <c r="B53" s="13" t="s">
        <v>131</v>
      </c>
      <c r="C53" s="194" t="s">
        <v>57</v>
      </c>
      <c r="D53" s="144" t="s">
        <v>44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54000</v>
      </c>
      <c r="P53" s="147">
        <f t="shared" si="17"/>
        <v>27000</v>
      </c>
      <c r="Q53" s="146">
        <v>27000</v>
      </c>
      <c r="R53" s="165"/>
      <c r="S53" s="165"/>
      <c r="T53" s="151">
        <f>8994.7+8994.7</f>
        <v>17989.4</v>
      </c>
      <c r="U53" s="151"/>
      <c r="V53" s="151">
        <v>62426.4</v>
      </c>
      <c r="W53" s="151"/>
      <c r="X53" s="146">
        <f>8994.7+8994.7</f>
        <v>17989.4</v>
      </c>
      <c r="Y53" s="171"/>
      <c r="Z53" s="150">
        <v>62426.4</v>
      </c>
      <c r="AA53" s="146">
        <f t="shared" si="15"/>
        <v>231.20888888888888</v>
      </c>
      <c r="AB53" s="148">
        <f t="shared" si="14"/>
        <v>35426.4</v>
      </c>
      <c r="AC53" s="165" t="s">
        <v>74</v>
      </c>
      <c r="AD53" s="150">
        <f>Z53</f>
        <v>62426.4</v>
      </c>
      <c r="AE53" s="150">
        <f>AA53</f>
        <v>231.20888888888888</v>
      </c>
      <c r="AF53" s="150">
        <f>AB53</f>
        <v>35426.4</v>
      </c>
      <c r="AG53" s="150">
        <v>0</v>
      </c>
      <c r="AH53" s="231">
        <f t="shared" si="3"/>
        <v>0</v>
      </c>
    </row>
    <row r="54" spans="1:34" ht="37.5" hidden="1">
      <c r="A54" s="13" t="s">
        <v>38</v>
      </c>
      <c r="B54" s="13" t="s">
        <v>109</v>
      </c>
      <c r="C54" s="194" t="s">
        <v>58</v>
      </c>
      <c r="D54" s="144" t="s">
        <v>103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10951615.36</v>
      </c>
      <c r="P54" s="147">
        <f t="shared" si="17"/>
        <v>5475807.68</v>
      </c>
      <c r="Q54" s="146">
        <v>5475807.68</v>
      </c>
      <c r="R54" s="172"/>
      <c r="S54" s="165"/>
      <c r="T54" s="173">
        <v>5475807.68</v>
      </c>
      <c r="U54" s="173"/>
      <c r="V54" s="151">
        <v>0</v>
      </c>
      <c r="W54" s="151"/>
      <c r="X54" s="174">
        <v>5475807.68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-5475807.68</v>
      </c>
      <c r="AC54" s="165"/>
      <c r="AD54" s="147">
        <f>AD55+AD56+AD57</f>
        <v>0</v>
      </c>
      <c r="AE54" s="190">
        <f aca="true" t="shared" si="19" ref="AE54:AE66">AD54*100/P54</f>
        <v>0</v>
      </c>
      <c r="AF54" s="190">
        <f aca="true" t="shared" si="20" ref="AF54:AF66">Z54*100/P54</f>
        <v>0</v>
      </c>
      <c r="AG54" s="228"/>
      <c r="AH54" s="229" t="e">
        <f t="shared" si="3"/>
        <v>#DIV/0!</v>
      </c>
    </row>
    <row r="55" spans="1:34" ht="37.5" hidden="1">
      <c r="A55" s="13" t="s">
        <v>45</v>
      </c>
      <c r="B55" s="13" t="s">
        <v>110</v>
      </c>
      <c r="C55" s="194" t="s">
        <v>58</v>
      </c>
      <c r="D55" s="144" t="s">
        <v>37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340762.28</v>
      </c>
      <c r="P55" s="147">
        <f t="shared" si="17"/>
        <v>170381.14</v>
      </c>
      <c r="Q55" s="146">
        <f>550000-379618.86</f>
        <v>170381.14</v>
      </c>
      <c r="R55" s="172"/>
      <c r="S55" s="165"/>
      <c r="T55" s="173">
        <v>170381.14</v>
      </c>
      <c r="U55" s="173"/>
      <c r="V55" s="151">
        <v>0</v>
      </c>
      <c r="W55" s="151"/>
      <c r="X55" s="174">
        <v>170381.14</v>
      </c>
      <c r="Y55" s="175">
        <f>X55/P55*100</f>
        <v>100</v>
      </c>
      <c r="Z55" s="147">
        <f>Z56+Z57+Z58</f>
        <v>0</v>
      </c>
      <c r="AA55" s="146">
        <f t="shared" si="15"/>
        <v>0</v>
      </c>
      <c r="AB55" s="148">
        <f t="shared" si="14"/>
        <v>-170381.14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32.25" customHeight="1" hidden="1">
      <c r="A56" s="13" t="s">
        <v>47</v>
      </c>
      <c r="B56" s="13" t="s">
        <v>111</v>
      </c>
      <c r="C56" s="194" t="s">
        <v>58</v>
      </c>
      <c r="D56" s="144" t="s">
        <v>46</v>
      </c>
      <c r="E56" s="145"/>
      <c r="F56" s="145"/>
      <c r="G56" s="145"/>
      <c r="H56" s="145"/>
      <c r="I56" s="145"/>
      <c r="J56" s="145"/>
      <c r="K56" s="145"/>
      <c r="L56" s="145"/>
      <c r="M56" s="147">
        <v>0</v>
      </c>
      <c r="N56" s="145"/>
      <c r="O56" s="152">
        <f t="shared" si="16"/>
        <v>610364</v>
      </c>
      <c r="P56" s="147">
        <f t="shared" si="17"/>
        <v>305182</v>
      </c>
      <c r="Q56" s="146">
        <v>305182</v>
      </c>
      <c r="R56" s="172"/>
      <c r="S56" s="165"/>
      <c r="T56" s="173"/>
      <c r="U56" s="173"/>
      <c r="V56" s="151">
        <v>0</v>
      </c>
      <c r="W56" s="151"/>
      <c r="X56" s="174"/>
      <c r="Y56" s="175"/>
      <c r="Z56" s="147">
        <f>Z57+Z58+Z59</f>
        <v>0</v>
      </c>
      <c r="AA56" s="146">
        <f t="shared" si="15"/>
        <v>0</v>
      </c>
      <c r="AB56" s="148">
        <f t="shared" si="14"/>
        <v>-305182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51.75" customHeight="1" hidden="1">
      <c r="A57" s="13" t="s">
        <v>48</v>
      </c>
      <c r="B57" s="13" t="s">
        <v>112</v>
      </c>
      <c r="C57" s="194" t="s">
        <v>59</v>
      </c>
      <c r="D57" s="144" t="s">
        <v>42</v>
      </c>
      <c r="E57" s="145"/>
      <c r="F57" s="145"/>
      <c r="G57" s="145"/>
      <c r="H57" s="145"/>
      <c r="I57" s="145"/>
      <c r="J57" s="145"/>
      <c r="K57" s="145"/>
      <c r="L57" s="145"/>
      <c r="M57" s="147">
        <f>M58+M59+M60</f>
        <v>0</v>
      </c>
      <c r="N57" s="145"/>
      <c r="O57" s="152">
        <f t="shared" si="16"/>
        <v>20012024</v>
      </c>
      <c r="P57" s="147">
        <f t="shared" si="17"/>
        <v>10006012</v>
      </c>
      <c r="Q57" s="146">
        <f>Q58+Q59+Q60</f>
        <v>10006012</v>
      </c>
      <c r="R57" s="176"/>
      <c r="S57" s="165"/>
      <c r="T57" s="151">
        <f>T58+T59+T60</f>
        <v>7554942</v>
      </c>
      <c r="U57" s="151"/>
      <c r="V57" s="151">
        <v>0</v>
      </c>
      <c r="W57" s="151"/>
      <c r="X57" s="146">
        <f>X58+X59+X60</f>
        <v>7554942</v>
      </c>
      <c r="Y57" s="177">
        <f>X57/P57*100</f>
        <v>75.50402697898024</v>
      </c>
      <c r="Z57" s="147">
        <f>Z58+Z59+Z60</f>
        <v>0</v>
      </c>
      <c r="AA57" s="146">
        <f t="shared" si="15"/>
        <v>0</v>
      </c>
      <c r="AB57" s="148">
        <f t="shared" si="14"/>
        <v>-10006012</v>
      </c>
      <c r="AC57" s="165"/>
      <c r="AD57" s="147">
        <f>AD58+AD59+AD60</f>
        <v>0</v>
      </c>
      <c r="AE57" s="190">
        <f t="shared" si="19"/>
        <v>0</v>
      </c>
      <c r="AF57" s="190">
        <f t="shared" si="20"/>
        <v>0</v>
      </c>
      <c r="AG57" s="228"/>
      <c r="AH57" s="229" t="e">
        <f t="shared" si="3"/>
        <v>#DIV/0!</v>
      </c>
    </row>
    <row r="58" spans="1:34" ht="24" customHeight="1" hidden="1">
      <c r="A58" s="13"/>
      <c r="B58" s="13"/>
      <c r="C58" s="195"/>
      <c r="D58" s="52" t="s">
        <v>39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4000000</v>
      </c>
      <c r="P58" s="57">
        <f t="shared" si="17"/>
        <v>2000000</v>
      </c>
      <c r="Q58" s="62">
        <f>1500000+500000</f>
        <v>2000000</v>
      </c>
      <c r="R58" s="77"/>
      <c r="S58" s="91"/>
      <c r="T58" s="76">
        <f>185695.2+283914.6+257099.4+99340.8+62907.6+129854.4+71424+72591.6+236332.8+190290+101258.4+5511.6+10389.6</f>
        <v>1706610.0000000002</v>
      </c>
      <c r="U58" s="76"/>
      <c r="V58" s="35">
        <v>0</v>
      </c>
      <c r="W58" s="35"/>
      <c r="X58" s="75">
        <f>185695.2+283914.6+257099.4+99340.8+62907.6+129854.4+71424+72591.6+236332.8+190290+101258.4+5511.6+10389.6</f>
        <v>1706610.0000000002</v>
      </c>
      <c r="Y58" s="64">
        <f>X58/P58*100</f>
        <v>85.33050000000001</v>
      </c>
      <c r="Z58" s="98">
        <v>0</v>
      </c>
      <c r="AA58" s="20">
        <f t="shared" si="15"/>
        <v>0</v>
      </c>
      <c r="AB58" s="43">
        <f t="shared" si="14"/>
        <v>-2000000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18.75" hidden="1">
      <c r="A59" s="13"/>
      <c r="B59" s="13"/>
      <c r="C59" s="195"/>
      <c r="D59" s="52" t="s">
        <v>40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9012024</v>
      </c>
      <c r="P59" s="57">
        <f t="shared" si="17"/>
        <v>4506012</v>
      </c>
      <c r="Q59" s="62">
        <f>5000000-500000+6012</f>
        <v>4506012</v>
      </c>
      <c r="R59" s="77"/>
      <c r="S59" s="91"/>
      <c r="T59" s="76">
        <f>309091.2+295428.55+104848.25+410089.8+99821.4+824466.6+79300.2-85899.6+234306+338492.4+314325+469128-30844.2+68012.4+172592.4+166410+6012</f>
        <v>3775580.3999999994</v>
      </c>
      <c r="U59" s="76"/>
      <c r="V59" s="35">
        <v>0</v>
      </c>
      <c r="W59" s="35"/>
      <c r="X59" s="75">
        <f>309091.2+295428.55+104848.25+410089.8+99821.4+824466.6+79300.2-85899.6+234306+338492.4+314325+469128-30844.2+68012.4+172592.4+166410+6012</f>
        <v>3775580.3999999994</v>
      </c>
      <c r="Y59" s="64">
        <f>X59/P59*100</f>
        <v>83.78984343583637</v>
      </c>
      <c r="Z59" s="98">
        <v>0</v>
      </c>
      <c r="AA59" s="20">
        <f t="shared" si="15"/>
        <v>0</v>
      </c>
      <c r="AB59" s="43">
        <f t="shared" si="14"/>
        <v>-4506012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/>
      <c r="B60" s="13"/>
      <c r="C60" s="195"/>
      <c r="D60" s="52" t="s">
        <v>41</v>
      </c>
      <c r="E60" s="61"/>
      <c r="F60" s="61"/>
      <c r="G60" s="61"/>
      <c r="H60" s="61"/>
      <c r="I60" s="61"/>
      <c r="J60" s="61"/>
      <c r="K60" s="61"/>
      <c r="L60" s="61"/>
      <c r="M60" s="57">
        <v>0</v>
      </c>
      <c r="N60" s="61"/>
      <c r="O60" s="58">
        <f t="shared" si="16"/>
        <v>7000000</v>
      </c>
      <c r="P60" s="57">
        <f t="shared" si="17"/>
        <v>3500000</v>
      </c>
      <c r="Q60" s="62">
        <v>3500000</v>
      </c>
      <c r="R60" s="77"/>
      <c r="S60" s="91"/>
      <c r="T60" s="76">
        <v>2072751.6</v>
      </c>
      <c r="U60" s="76"/>
      <c r="V60" s="35">
        <v>0</v>
      </c>
      <c r="W60" s="35"/>
      <c r="X60" s="75">
        <v>2072751.6</v>
      </c>
      <c r="Y60" s="64">
        <f>X60/P60*100</f>
        <v>59.221474285714294</v>
      </c>
      <c r="Z60" s="98">
        <v>0</v>
      </c>
      <c r="AA60" s="20">
        <f t="shared" si="15"/>
        <v>0</v>
      </c>
      <c r="AB60" s="43">
        <f t="shared" si="14"/>
        <v>-3500000</v>
      </c>
      <c r="AC60" s="90"/>
      <c r="AD60" s="89"/>
      <c r="AE60" s="191">
        <f t="shared" si="19"/>
        <v>0</v>
      </c>
      <c r="AF60" s="191">
        <f t="shared" si="20"/>
        <v>0</v>
      </c>
      <c r="AG60" s="228"/>
      <c r="AH60" s="229" t="e">
        <f t="shared" si="3"/>
        <v>#DIV/0!</v>
      </c>
    </row>
    <row r="61" spans="1:34" ht="21" customHeight="1" hidden="1">
      <c r="A61" s="13" t="s">
        <v>64</v>
      </c>
      <c r="B61" s="13"/>
      <c r="C61" s="195"/>
      <c r="D61" s="60"/>
      <c r="E61" s="61"/>
      <c r="F61" s="61"/>
      <c r="G61" s="61"/>
      <c r="H61" s="61"/>
      <c r="I61" s="61"/>
      <c r="J61" s="61"/>
      <c r="K61" s="61"/>
      <c r="L61" s="61"/>
      <c r="M61" s="57"/>
      <c r="N61" s="57"/>
      <c r="O61" s="57"/>
      <c r="P61" s="57"/>
      <c r="Q61" s="57"/>
      <c r="R61" s="57"/>
      <c r="S61" s="57"/>
      <c r="T61" s="57"/>
      <c r="U61" s="78"/>
      <c r="V61" s="35"/>
      <c r="W61" s="35"/>
      <c r="X61" s="57"/>
      <c r="Y61" s="57"/>
      <c r="Z61" s="140"/>
      <c r="AA61" s="143"/>
      <c r="AB61" s="45">
        <f t="shared" si="14"/>
        <v>0</v>
      </c>
      <c r="AC61" s="141"/>
      <c r="AD61" s="89"/>
      <c r="AE61" s="191" t="e">
        <f t="shared" si="19"/>
        <v>#DIV/0!</v>
      </c>
      <c r="AF61" s="191" t="e">
        <f t="shared" si="20"/>
        <v>#DIV/0!</v>
      </c>
      <c r="AG61" s="228"/>
      <c r="AH61" s="229" t="e">
        <f t="shared" si="3"/>
        <v>#DIV/0!</v>
      </c>
    </row>
    <row r="62" spans="1:34" ht="21" customHeight="1">
      <c r="A62" s="13"/>
      <c r="B62" s="2">
        <v>2</v>
      </c>
      <c r="C62" s="192">
        <v>1</v>
      </c>
      <c r="D62" s="3" t="s">
        <v>121</v>
      </c>
      <c r="E62" s="4"/>
      <c r="F62" s="4"/>
      <c r="G62" s="5"/>
      <c r="H62" s="4"/>
      <c r="I62" s="4"/>
      <c r="J62" s="6"/>
      <c r="K62" s="6"/>
      <c r="L62" s="6"/>
      <c r="M62" s="46">
        <f>M63</f>
        <v>28400</v>
      </c>
      <c r="N62" s="48"/>
      <c r="O62" s="47">
        <f>P62+Q62</f>
        <v>56800</v>
      </c>
      <c r="P62" s="109">
        <f>Q62+R62</f>
        <v>28400</v>
      </c>
      <c r="Q62" s="110">
        <f>Q63</f>
        <v>28400</v>
      </c>
      <c r="R62" s="110">
        <f>R63</f>
        <v>0</v>
      </c>
      <c r="S62" s="110">
        <f>S63</f>
        <v>0</v>
      </c>
      <c r="T62" s="111">
        <f>T63</f>
        <v>0</v>
      </c>
      <c r="U62" s="111"/>
      <c r="V62" s="111">
        <f>P62*(0.9)</f>
        <v>25560</v>
      </c>
      <c r="W62" s="111"/>
      <c r="X62" s="110">
        <f>X63</f>
        <v>0</v>
      </c>
      <c r="Y62" s="112">
        <f>X62/P62*100</f>
        <v>0</v>
      </c>
      <c r="Z62" s="109">
        <v>50000</v>
      </c>
      <c r="AA62" s="46">
        <f>Z62/P62*100</f>
        <v>176.05633802816902</v>
      </c>
      <c r="AB62" s="260"/>
      <c r="AC62" s="24" t="s">
        <v>72</v>
      </c>
      <c r="AD62" s="113">
        <f>AD63</f>
        <v>30700</v>
      </c>
      <c r="AE62" s="191"/>
      <c r="AF62" s="191"/>
      <c r="AG62" s="235">
        <f>AG63</f>
        <v>0</v>
      </c>
      <c r="AH62" s="230">
        <f t="shared" si="3"/>
        <v>0</v>
      </c>
    </row>
    <row r="63" spans="1:34" ht="21" customHeight="1">
      <c r="A63" s="13"/>
      <c r="B63" s="23" t="s">
        <v>22</v>
      </c>
      <c r="C63" s="193"/>
      <c r="D63" s="238" t="s">
        <v>90</v>
      </c>
      <c r="E63" s="7"/>
      <c r="F63" s="7"/>
      <c r="G63" s="8"/>
      <c r="H63" s="7"/>
      <c r="I63" s="7"/>
      <c r="J63" s="9"/>
      <c r="K63" s="9"/>
      <c r="L63" s="9"/>
      <c r="M63" s="38">
        <v>28400</v>
      </c>
      <c r="N63" s="9"/>
      <c r="O63" s="26">
        <f>P63+Q63</f>
        <v>56800</v>
      </c>
      <c r="P63" s="85">
        <f>Q63+R63</f>
        <v>28400</v>
      </c>
      <c r="Q63" s="20">
        <v>28400</v>
      </c>
      <c r="R63" s="20">
        <v>0</v>
      </c>
      <c r="S63" s="20">
        <v>0</v>
      </c>
      <c r="T63" s="35">
        <v>0</v>
      </c>
      <c r="U63" s="35"/>
      <c r="V63" s="35">
        <f>P63*(0.9)</f>
        <v>25560</v>
      </c>
      <c r="W63" s="35"/>
      <c r="X63" s="20">
        <v>0</v>
      </c>
      <c r="Y63" s="200">
        <f>X63/P63*100</f>
        <v>0</v>
      </c>
      <c r="Z63" s="108">
        <v>50000</v>
      </c>
      <c r="AA63" s="20">
        <f>Z63/P63*100</f>
        <v>176.05633802816902</v>
      </c>
      <c r="AB63" s="261"/>
      <c r="AC63" s="24"/>
      <c r="AD63" s="89">
        <v>30700</v>
      </c>
      <c r="AE63" s="191"/>
      <c r="AF63" s="191"/>
      <c r="AG63" s="236"/>
      <c r="AH63" s="237">
        <f t="shared" si="3"/>
        <v>0</v>
      </c>
    </row>
    <row r="64" spans="1:34" ht="53.25" customHeight="1">
      <c r="A64" s="13"/>
      <c r="B64" s="215" t="s">
        <v>122</v>
      </c>
      <c r="C64" s="216"/>
      <c r="D64" s="217" t="s">
        <v>132</v>
      </c>
      <c r="E64" s="218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20"/>
      <c r="U64" s="220"/>
      <c r="V64" s="111"/>
      <c r="W64" s="111"/>
      <c r="X64" s="219"/>
      <c r="Y64" s="219"/>
      <c r="Z64" s="113"/>
      <c r="AA64" s="221"/>
      <c r="AB64" s="115"/>
      <c r="AC64" s="222"/>
      <c r="AD64" s="113">
        <f>AD66</f>
        <v>777789.24</v>
      </c>
      <c r="AE64" s="191"/>
      <c r="AF64" s="191"/>
      <c r="AG64" s="241">
        <f>AG65</f>
        <v>20854.309999999998</v>
      </c>
      <c r="AH64" s="230">
        <f t="shared" si="3"/>
        <v>2.6812289149178765</v>
      </c>
    </row>
    <row r="65" spans="1:34" ht="20.25" customHeight="1">
      <c r="A65" s="13" t="s">
        <v>65</v>
      </c>
      <c r="B65" s="13" t="s">
        <v>25</v>
      </c>
      <c r="C65" s="194"/>
      <c r="D65" s="144" t="s">
        <v>100</v>
      </c>
      <c r="E65" s="145"/>
      <c r="F65" s="145"/>
      <c r="G65" s="145"/>
      <c r="H65" s="145"/>
      <c r="I65" s="145"/>
      <c r="J65" s="145"/>
      <c r="K65" s="145"/>
      <c r="L65" s="145"/>
      <c r="M65" s="178">
        <f>M66</f>
        <v>135989</v>
      </c>
      <c r="N65" s="178"/>
      <c r="O65" s="152">
        <f>P65+Q65</f>
        <v>271978</v>
      </c>
      <c r="P65" s="147">
        <f>Q65+R65</f>
        <v>135989</v>
      </c>
      <c r="Q65" s="146">
        <f>Q66</f>
        <v>135989</v>
      </c>
      <c r="R65" s="149"/>
      <c r="S65" s="149"/>
      <c r="T65" s="151">
        <f>T66</f>
        <v>128500.84000000001</v>
      </c>
      <c r="U65" s="151"/>
      <c r="V65" s="151">
        <f>V66</f>
        <v>1147180.09</v>
      </c>
      <c r="W65" s="151">
        <v>402800</v>
      </c>
      <c r="X65" s="146">
        <f>X66</f>
        <v>128500.84000000001</v>
      </c>
      <c r="Y65" s="171">
        <f>X65/P65*100</f>
        <v>94.4935546257418</v>
      </c>
      <c r="Z65" s="147">
        <f>Z66</f>
        <v>1147180.09</v>
      </c>
      <c r="AA65" s="146">
        <f>Z65/P65*100</f>
        <v>843.5830030370104</v>
      </c>
      <c r="AB65" s="148">
        <f t="shared" si="14"/>
        <v>1011191.0900000001</v>
      </c>
      <c r="AC65" s="162"/>
      <c r="AD65" s="150">
        <f>AD66</f>
        <v>777789.24</v>
      </c>
      <c r="AE65" s="190">
        <f t="shared" si="19"/>
        <v>571.9501136121304</v>
      </c>
      <c r="AF65" s="190">
        <f t="shared" si="20"/>
        <v>843.5830030370105</v>
      </c>
      <c r="AG65" s="242">
        <f>AG66</f>
        <v>20854.309999999998</v>
      </c>
      <c r="AH65" s="231">
        <f t="shared" si="3"/>
        <v>2.6812289149178765</v>
      </c>
    </row>
    <row r="66" spans="1:34" ht="36.75" customHeight="1">
      <c r="A66" s="13"/>
      <c r="B66" s="13"/>
      <c r="C66" s="32"/>
      <c r="D66" s="65" t="s">
        <v>141</v>
      </c>
      <c r="E66" s="53"/>
      <c r="F66" s="53"/>
      <c r="G66" s="53"/>
      <c r="H66" s="53"/>
      <c r="I66" s="53"/>
      <c r="J66" s="53"/>
      <c r="K66" s="53"/>
      <c r="L66" s="53"/>
      <c r="M66" s="62">
        <f>135989</f>
        <v>135989</v>
      </c>
      <c r="N66" s="63"/>
      <c r="O66" s="58">
        <f>P66+Q66</f>
        <v>271978</v>
      </c>
      <c r="P66" s="57">
        <f>Q66+R66</f>
        <v>135989</v>
      </c>
      <c r="Q66" s="21">
        <f>135989</f>
        <v>135989</v>
      </c>
      <c r="R66" s="105"/>
      <c r="S66" s="105"/>
      <c r="T66" s="36">
        <f>6438.31+13187.76+54909+12393.8+41571.97</f>
        <v>128500.84000000001</v>
      </c>
      <c r="U66" s="36"/>
      <c r="V66" s="106">
        <v>1147180.09</v>
      </c>
      <c r="W66" s="106">
        <f>W65</f>
        <v>402800</v>
      </c>
      <c r="X66" s="21">
        <f>6438.31+13187.76+54909+12393.8+41571.97</f>
        <v>128500.84000000001</v>
      </c>
      <c r="Y66" s="59">
        <f>X66/P66*100</f>
        <v>94.4935546257418</v>
      </c>
      <c r="Z66" s="83">
        <v>1147180.09</v>
      </c>
      <c r="AA66" s="93">
        <f>Z66/P66*100</f>
        <v>843.5830030370104</v>
      </c>
      <c r="AB66" s="94">
        <f t="shared" si="14"/>
        <v>1011191.0900000001</v>
      </c>
      <c r="AC66" s="105" t="s">
        <v>76</v>
      </c>
      <c r="AD66" s="98">
        <v>777789.24</v>
      </c>
      <c r="AE66" s="191">
        <f t="shared" si="19"/>
        <v>571.9501136121304</v>
      </c>
      <c r="AF66" s="191">
        <f t="shared" si="20"/>
        <v>843.5830030370105</v>
      </c>
      <c r="AG66" s="240">
        <f>11291.3+9563.01</f>
        <v>20854.309999999998</v>
      </c>
      <c r="AH66" s="232">
        <f t="shared" si="3"/>
        <v>2.6812289149178765</v>
      </c>
    </row>
    <row r="67" spans="1:34" ht="18" customHeight="1">
      <c r="A67" s="80"/>
      <c r="B67" s="80"/>
      <c r="C67" s="197"/>
      <c r="D67" s="79" t="s">
        <v>23</v>
      </c>
      <c r="E67" s="80"/>
      <c r="F67" s="80"/>
      <c r="G67" s="80"/>
      <c r="H67" s="80"/>
      <c r="I67" s="81"/>
      <c r="J67" s="81"/>
      <c r="K67" s="81"/>
      <c r="L67" s="81"/>
      <c r="M67" s="40" t="e">
        <f>M62+M9</f>
        <v>#REF!</v>
      </c>
      <c r="N67" s="40" t="e">
        <f>N62+N9</f>
        <v>#VALUE!</v>
      </c>
      <c r="O67" s="40" t="e">
        <f>O62+O9</f>
        <v>#REF!</v>
      </c>
      <c r="P67" s="66" t="e">
        <f>P62+P9</f>
        <v>#REF!</v>
      </c>
      <c r="Q67" s="40"/>
      <c r="R67" s="40"/>
      <c r="S67" s="40"/>
      <c r="T67" s="40"/>
      <c r="U67" s="40"/>
      <c r="V67" s="40"/>
      <c r="W67" s="35"/>
      <c r="X67" s="40"/>
      <c r="Y67" s="40"/>
      <c r="Z67" s="66" t="e">
        <f>Z62+Z9</f>
        <v>#REF!</v>
      </c>
      <c r="AA67" s="40" t="e">
        <f>AA62+AA9</f>
        <v>#REF!</v>
      </c>
      <c r="AB67" s="40" t="e">
        <f>AB62+AB9</f>
        <v>#REF!</v>
      </c>
      <c r="AC67" s="40"/>
      <c r="AD67" s="66">
        <f>AD64+AD62+AD9</f>
        <v>59880471.962149</v>
      </c>
      <c r="AE67" s="66">
        <f>AE64+AE62+AE9</f>
        <v>8781903.418557154</v>
      </c>
      <c r="AF67" s="66">
        <f>AF64+AF62+AF9</f>
        <v>8481298.39298127</v>
      </c>
      <c r="AG67" s="66">
        <f>AG64+AG62+AG9</f>
        <v>12571038.72</v>
      </c>
      <c r="AH67" s="229">
        <f t="shared" si="3"/>
        <v>20.993553170299442</v>
      </c>
    </row>
    <row r="68" spans="16:23" ht="12.75">
      <c r="P68" s="14"/>
      <c r="R68" s="41"/>
      <c r="S68" s="41"/>
      <c r="V68" s="33"/>
      <c r="W68" s="33"/>
    </row>
    <row r="69" spans="1:24" ht="12.75">
      <c r="A69" s="49"/>
      <c r="B69" s="33"/>
      <c r="C69" s="50"/>
      <c r="P69" s="14"/>
      <c r="R69" s="30"/>
      <c r="S69" s="30"/>
      <c r="T69" s="30"/>
      <c r="U69" s="30"/>
      <c r="V69" s="30"/>
      <c r="W69" s="30"/>
      <c r="X69" s="30"/>
    </row>
    <row r="70" spans="4:30" ht="15.75"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2"/>
      <c r="S70" s="212"/>
      <c r="T70" s="212"/>
      <c r="U70" s="212"/>
      <c r="V70" s="212"/>
      <c r="W70" s="212"/>
      <c r="X70" s="212"/>
      <c r="Y70" s="210"/>
      <c r="Z70" s="210"/>
      <c r="AA70" s="210"/>
      <c r="AB70" s="210"/>
      <c r="AC70" s="210"/>
      <c r="AD70" s="213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spans="16:24" ht="12.75">
      <c r="P72" s="14"/>
      <c r="R72" s="30"/>
      <c r="S72" s="30"/>
      <c r="T72" s="30"/>
      <c r="U72" s="30"/>
      <c r="V72" s="30"/>
      <c r="W72" s="30"/>
      <c r="X72" s="30"/>
    </row>
    <row r="73" ht="12.75">
      <c r="AD73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4:C45"/>
    <mergeCell ref="K5:K7"/>
    <mergeCell ref="L5:L7"/>
    <mergeCell ref="V5:V7"/>
    <mergeCell ref="N5:P7"/>
    <mergeCell ref="C21:C23"/>
    <mergeCell ref="M5:M7"/>
    <mergeCell ref="AB62:AB63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9:AC51"/>
    <mergeCell ref="X5:X7"/>
    <mergeCell ref="Y5:Y7"/>
    <mergeCell ref="Z5:Z7"/>
    <mergeCell ref="AC25:AC27"/>
    <mergeCell ref="AC28:AC32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2017-02-24T12:50:27Z</cp:lastPrinted>
  <dcterms:created xsi:type="dcterms:W3CDTF">2014-01-17T10:52:16Z</dcterms:created>
  <dcterms:modified xsi:type="dcterms:W3CDTF">2017-03-09T10:09:23Z</dcterms:modified>
  <cp:category/>
  <cp:version/>
  <cp:contentType/>
  <cp:contentStatus/>
</cp:coreProperties>
</file>